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ro\Desktop\LAR Templates\"/>
    </mc:Choice>
  </mc:AlternateContent>
  <xr:revisionPtr revIDLastSave="0" documentId="13_ncr:1_{1EA2854D-FEB4-4E3E-990E-5FB78F9C1235}" xr6:coauthVersionLast="47" xr6:coauthVersionMax="47" xr10:uidLastSave="{00000000-0000-0000-0000-000000000000}"/>
  <workbookProtection workbookAlgorithmName="SHA-512" workbookHashValue="NM+SXsinKNz4InSt/zPoztDna+GitkaD2RhxW5CgassqPrs6QKPs+Azx2s5psGL69VzMOj5vPi9OjaehisArJg==" workbookSaltValue="UPOvYdnstIhrOTm51Jl1TA==" workbookSpinCount="100000" lockStructure="1"/>
  <bookViews>
    <workbookView xWindow="28680" yWindow="-120" windowWidth="29040" windowHeight="15720" activeTab="14" xr2:uid="{B76CBE78-D210-4745-8DC5-6F528407F1A6}"/>
  </bookViews>
  <sheets>
    <sheet name="Instructions" sheetId="3" r:id="rId1"/>
    <sheet name="Holidays" sheetId="2" state="hidden" r:id="rId2"/>
    <sheet name="Leave Projection" sheetId="16" state="hidden" r:id="rId3"/>
    <sheet name="Jan" sheetId="1" r:id="rId4"/>
    <sheet name="Feb" sheetId="5" r:id="rId5"/>
    <sheet name="Mar" sheetId="6" r:id="rId6"/>
    <sheet name="Apr" sheetId="7" r:id="rId7"/>
    <sheet name="May" sheetId="8" r:id="rId8"/>
    <sheet name="Jun" sheetId="9" r:id="rId9"/>
    <sheet name="Jul" sheetId="10" r:id="rId10"/>
    <sheet name="Aug" sheetId="11" r:id="rId11"/>
    <sheet name="Sep" sheetId="12" r:id="rId12"/>
    <sheet name="Oct" sheetId="13" r:id="rId13"/>
    <sheet name="Nov" sheetId="14" r:id="rId14"/>
    <sheet name="Dec" sheetId="15" r:id="rId15"/>
  </sheets>
  <externalReferences>
    <externalReference r:id="rId16"/>
  </externalReferences>
  <definedNames>
    <definedName name="_Fill" hidden="1">#REF!</definedName>
    <definedName name="Codes_for_Other">Instructions!$L$4:$L$15</definedName>
    <definedName name="Description">Instructions!$M$4:$M$15</definedName>
    <definedName name="FN">Jan!$D$6</definedName>
    <definedName name="HN">Holidays!$B$2:$B$46</definedName>
    <definedName name="Hol" localSheetId="6">Holidays[Holiday]</definedName>
    <definedName name="Hol" localSheetId="10">Holidays[Holiday]</definedName>
    <definedName name="Hol" localSheetId="14">Holidays[Holiday]</definedName>
    <definedName name="Hol" localSheetId="4">Holidays[Holiday]</definedName>
    <definedName name="Hol" localSheetId="9">Holidays[Holiday]</definedName>
    <definedName name="Hol" localSheetId="8">Holidays[Holiday]</definedName>
    <definedName name="Hol" localSheetId="5">Holidays[Holiday]</definedName>
    <definedName name="Hol" localSheetId="7">Holidays[Holiday]</definedName>
    <definedName name="Hol" localSheetId="13">Holidays[Holiday]</definedName>
    <definedName name="Hol" localSheetId="12">Holidays[Holiday]</definedName>
    <definedName name="Hol" localSheetId="11">Holidays[Holiday]</definedName>
    <definedName name="Hol">Holidays[Holiday]</definedName>
    <definedName name="ID">Jan!$J$5</definedName>
    <definedName name="LN">Jan!$D$5</definedName>
    <definedName name="Location">Jan!$J$6</definedName>
    <definedName name="Locations">Instructions!$B$19:$B$23</definedName>
    <definedName name="max">[1]July!#REF!</definedName>
    <definedName name="Obs_day" localSheetId="6">Holidays[Date of Observance]</definedName>
    <definedName name="Obs_day" localSheetId="10">Holidays[Date of Observance]</definedName>
    <definedName name="Obs_day" localSheetId="14">Holidays[Date of Observance]</definedName>
    <definedName name="Obs_day" localSheetId="4">Holidays[Date of Observance]</definedName>
    <definedName name="Obs_day" localSheetId="9">Holidays[Date of Observance]</definedName>
    <definedName name="Obs_day" localSheetId="8">Holidays[Date of Observance]</definedName>
    <definedName name="Obs_day" localSheetId="5">Holidays[Date of Observance]</definedName>
    <definedName name="Obs_day" localSheetId="7">Holidays[Date of Observance]</definedName>
    <definedName name="Obs_day" localSheetId="13">Holidays[Date of Observance]</definedName>
    <definedName name="Obs_day" localSheetId="12">Holidays[Date of Observance]</definedName>
    <definedName name="Obs_day" localSheetId="11">Holidays[Date of Observance]</definedName>
    <definedName name="Obs_day">Holidays[Date of Observance]</definedName>
    <definedName name="Requires_Documentation">Instructions!$N$4:$N$15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7" l="1"/>
  <c r="D6" i="7"/>
  <c r="J5" i="7"/>
  <c r="J6" i="7"/>
  <c r="D8" i="16"/>
  <c r="D9" i="16"/>
  <c r="D10" i="16"/>
  <c r="D7" i="16"/>
  <c r="H40" i="1"/>
  <c r="D6" i="6"/>
  <c r="D6" i="8"/>
  <c r="D6" i="9"/>
  <c r="D6" i="10"/>
  <c r="D6" i="11"/>
  <c r="D6" i="12"/>
  <c r="D6" i="13"/>
  <c r="D6" i="14"/>
  <c r="D6" i="15"/>
  <c r="D6" i="5"/>
  <c r="D5" i="6"/>
  <c r="D5" i="8"/>
  <c r="D5" i="9"/>
  <c r="D5" i="10"/>
  <c r="D5" i="11"/>
  <c r="D5" i="12"/>
  <c r="D5" i="13"/>
  <c r="D5" i="14"/>
  <c r="D5" i="15"/>
  <c r="D5" i="5"/>
  <c r="J6" i="8"/>
  <c r="J6" i="9"/>
  <c r="J6" i="10"/>
  <c r="J6" i="11"/>
  <c r="J6" i="12"/>
  <c r="J6" i="13"/>
  <c r="J6" i="14"/>
  <c r="J6" i="15"/>
  <c r="J6" i="6"/>
  <c r="J6" i="5"/>
  <c r="J5" i="6"/>
  <c r="J5" i="8"/>
  <c r="J5" i="9"/>
  <c r="J5" i="10"/>
  <c r="J5" i="11"/>
  <c r="J5" i="12"/>
  <c r="J5" i="13"/>
  <c r="J5" i="14"/>
  <c r="J5" i="15"/>
  <c r="J5" i="5"/>
  <c r="J4" i="15"/>
  <c r="L8" i="15" s="1"/>
  <c r="H40" i="15"/>
  <c r="G40" i="15"/>
  <c r="F40" i="15"/>
  <c r="E40" i="15"/>
  <c r="J4" i="14"/>
  <c r="L8" i="14" s="1"/>
  <c r="H39" i="14"/>
  <c r="G39" i="14"/>
  <c r="F39" i="14"/>
  <c r="E39" i="14"/>
  <c r="J4" i="13"/>
  <c r="L8" i="13" s="1"/>
  <c r="H40" i="13"/>
  <c r="G40" i="13"/>
  <c r="F40" i="13"/>
  <c r="E40" i="13"/>
  <c r="J4" i="12"/>
  <c r="L7" i="12" s="1"/>
  <c r="L9" i="12" s="1" a="1"/>
  <c r="L9" i="12" s="1"/>
  <c r="D9" i="12" s="1"/>
  <c r="H39" i="12"/>
  <c r="G39" i="12"/>
  <c r="F39" i="12"/>
  <c r="E39" i="12"/>
  <c r="J4" i="11"/>
  <c r="L8" i="11" s="1"/>
  <c r="H40" i="11"/>
  <c r="G40" i="11"/>
  <c r="F40" i="11"/>
  <c r="E40" i="11"/>
  <c r="J4" i="10"/>
  <c r="L8" i="10" s="1"/>
  <c r="H40" i="10"/>
  <c r="G40" i="10"/>
  <c r="F40" i="10"/>
  <c r="E40" i="10"/>
  <c r="J4" i="9"/>
  <c r="L7" i="9" s="1"/>
  <c r="L9" i="9" s="1" a="1"/>
  <c r="H39" i="9"/>
  <c r="G39" i="9"/>
  <c r="F39" i="9"/>
  <c r="E39" i="9"/>
  <c r="J4" i="8"/>
  <c r="L8" i="8" s="1"/>
  <c r="H40" i="8"/>
  <c r="G40" i="8"/>
  <c r="F40" i="8"/>
  <c r="E40" i="8"/>
  <c r="J4" i="7"/>
  <c r="L8" i="7" s="1"/>
  <c r="H39" i="7"/>
  <c r="G39" i="7"/>
  <c r="F39" i="7"/>
  <c r="E39" i="7"/>
  <c r="J4" i="6"/>
  <c r="L8" i="6" s="1"/>
  <c r="H40" i="6"/>
  <c r="G40" i="6"/>
  <c r="F40" i="6"/>
  <c r="E40" i="6"/>
  <c r="J4" i="5"/>
  <c r="L7" i="5" s="1"/>
  <c r="L9" i="5" s="1" a="1"/>
  <c r="H37" i="5"/>
  <c r="G37" i="5"/>
  <c r="F37" i="5"/>
  <c r="E37" i="5"/>
  <c r="G40" i="1"/>
  <c r="F40" i="1"/>
  <c r="E40" i="1"/>
  <c r="L7" i="1"/>
  <c r="L9" i="1" s="1" a="1"/>
  <c r="L9" i="1" s="1"/>
  <c r="L8" i="1"/>
  <c r="L7" i="13" l="1"/>
  <c r="L9" i="13" s="1" a="1"/>
  <c r="L9" i="13" s="1"/>
  <c r="D9" i="13" s="1"/>
  <c r="L7" i="15"/>
  <c r="L9" i="15" s="1" a="1"/>
  <c r="L9" i="15" s="1"/>
  <c r="D9" i="15" s="1"/>
  <c r="L7" i="14"/>
  <c r="L9" i="14" s="1" a="1"/>
  <c r="L9" i="14" s="1"/>
  <c r="D9" i="14" s="1"/>
  <c r="L8" i="12"/>
  <c r="J9" i="12"/>
  <c r="C9" i="12" a="1"/>
  <c r="C9" i="12" s="1"/>
  <c r="A9" i="12"/>
  <c r="B9" i="12"/>
  <c r="D12" i="12"/>
  <c r="D16" i="12"/>
  <c r="D19" i="12"/>
  <c r="D22" i="12"/>
  <c r="D26" i="12"/>
  <c r="D29" i="12"/>
  <c r="D33" i="12"/>
  <c r="D38" i="12"/>
  <c r="D11" i="12"/>
  <c r="D14" i="12"/>
  <c r="D17" i="12"/>
  <c r="D20" i="12"/>
  <c r="D23" i="12"/>
  <c r="D25" i="12"/>
  <c r="D28" i="12"/>
  <c r="D31" i="12"/>
  <c r="D34" i="12"/>
  <c r="D36" i="12"/>
  <c r="D10" i="12"/>
  <c r="D13" i="12"/>
  <c r="D15" i="12"/>
  <c r="D18" i="12"/>
  <c r="D21" i="12"/>
  <c r="D24" i="12"/>
  <c r="D27" i="12"/>
  <c r="D30" i="12"/>
  <c r="D32" i="12"/>
  <c r="D35" i="12"/>
  <c r="D37" i="12"/>
  <c r="L7" i="11"/>
  <c r="L9" i="11" s="1" a="1"/>
  <c r="D35" i="11" s="1"/>
  <c r="C35" i="11" s="1" a="1"/>
  <c r="C35" i="11" s="1"/>
  <c r="L7" i="10"/>
  <c r="L9" i="10" s="1" a="1"/>
  <c r="D38" i="10" s="1"/>
  <c r="C38" i="10" s="1" a="1"/>
  <c r="C38" i="10" s="1"/>
  <c r="L8" i="9"/>
  <c r="D38" i="9"/>
  <c r="D35" i="9"/>
  <c r="D31" i="9"/>
  <c r="D30" i="9"/>
  <c r="L9" i="9"/>
  <c r="D9" i="9" s="1"/>
  <c r="D37" i="9"/>
  <c r="D36" i="9"/>
  <c r="D34" i="9"/>
  <c r="D33" i="9"/>
  <c r="D32" i="9"/>
  <c r="D29" i="9"/>
  <c r="D28" i="9"/>
  <c r="D27" i="9"/>
  <c r="D26" i="9"/>
  <c r="D25" i="9"/>
  <c r="D24" i="9"/>
  <c r="D23" i="9"/>
  <c r="D22" i="9"/>
  <c r="D21" i="9"/>
  <c r="D20" i="9"/>
  <c r="D19" i="9"/>
  <c r="D18" i="9"/>
  <c r="D17" i="9"/>
  <c r="D16" i="9"/>
  <c r="D15" i="9"/>
  <c r="D14" i="9"/>
  <c r="D13" i="9"/>
  <c r="D12" i="9"/>
  <c r="D11" i="9"/>
  <c r="D10" i="9"/>
  <c r="L7" i="8"/>
  <c r="L9" i="8" s="1" a="1"/>
  <c r="D18" i="8" s="1"/>
  <c r="L7" i="7"/>
  <c r="L9" i="7" s="1" a="1"/>
  <c r="D11" i="7" s="1"/>
  <c r="L7" i="6"/>
  <c r="L9" i="6" s="1" a="1"/>
  <c r="D35" i="6" s="1"/>
  <c r="L8" i="5"/>
  <c r="L9" i="5"/>
  <c r="D9" i="5" s="1"/>
  <c r="D36" i="5"/>
  <c r="D35" i="5"/>
  <c r="D34" i="5"/>
  <c r="D33" i="5"/>
  <c r="D32" i="5"/>
  <c r="D31" i="5"/>
  <c r="D30" i="5"/>
  <c r="D29" i="5"/>
  <c r="D28" i="5"/>
  <c r="D27" i="5"/>
  <c r="D26" i="5"/>
  <c r="D25" i="5"/>
  <c r="D24" i="5"/>
  <c r="D23" i="5"/>
  <c r="D22" i="5"/>
  <c r="D21" i="5"/>
  <c r="D20" i="5"/>
  <c r="D19" i="5"/>
  <c r="D18" i="5"/>
  <c r="D17" i="5"/>
  <c r="D16" i="5"/>
  <c r="D15" i="5"/>
  <c r="D14" i="5"/>
  <c r="D13" i="5"/>
  <c r="D12" i="5"/>
  <c r="D11" i="5"/>
  <c r="D10" i="5"/>
  <c r="D9" i="1"/>
  <c r="D11" i="13" l="1"/>
  <c r="D29" i="13"/>
  <c r="D31" i="13"/>
  <c r="D17" i="13"/>
  <c r="D26" i="13"/>
  <c r="C26" i="13" s="1" a="1"/>
  <c r="C26" i="13" s="1"/>
  <c r="L6" i="12"/>
  <c r="M10" i="12" s="1"/>
  <c r="D14" i="13"/>
  <c r="D13" i="7"/>
  <c r="D37" i="11"/>
  <c r="D24" i="13"/>
  <c r="D39" i="13"/>
  <c r="B39" i="13" s="1"/>
  <c r="L6" i="5"/>
  <c r="M10" i="5" s="1"/>
  <c r="D26" i="7"/>
  <c r="D23" i="11"/>
  <c r="D19" i="13"/>
  <c r="D35" i="13"/>
  <c r="L6" i="9"/>
  <c r="M10" i="9" s="1"/>
  <c r="D21" i="13"/>
  <c r="B21" i="13" s="1"/>
  <c r="D37" i="13"/>
  <c r="D15" i="13"/>
  <c r="D23" i="13"/>
  <c r="D30" i="13"/>
  <c r="D38" i="13"/>
  <c r="B38" i="13" s="1"/>
  <c r="D18" i="13"/>
  <c r="J18" i="13" s="1"/>
  <c r="D25" i="13"/>
  <c r="D32" i="13"/>
  <c r="D12" i="13"/>
  <c r="D13" i="13"/>
  <c r="D20" i="13"/>
  <c r="A20" i="13" s="1"/>
  <c r="D27" i="13"/>
  <c r="J27" i="13" s="1"/>
  <c r="D36" i="13"/>
  <c r="L9" i="8"/>
  <c r="D9" i="8" s="1"/>
  <c r="D14" i="11"/>
  <c r="D21" i="8"/>
  <c r="D24" i="11"/>
  <c r="C24" i="11" s="1" a="1"/>
  <c r="C24" i="11" s="1"/>
  <c r="D19" i="11"/>
  <c r="B19" i="11" s="1"/>
  <c r="D12" i="8"/>
  <c r="D39" i="11"/>
  <c r="A35" i="11"/>
  <c r="D33" i="13"/>
  <c r="D10" i="13"/>
  <c r="A10" i="13" s="1"/>
  <c r="D30" i="8"/>
  <c r="A30" i="8" s="1"/>
  <c r="D27" i="8"/>
  <c r="D24" i="8"/>
  <c r="D30" i="11"/>
  <c r="D25" i="11"/>
  <c r="D19" i="7"/>
  <c r="J19" i="7" s="1"/>
  <c r="D31" i="7"/>
  <c r="A31" i="7" s="1"/>
  <c r="D33" i="8"/>
  <c r="D15" i="8"/>
  <c r="D33" i="11"/>
  <c r="J33" i="11" s="1"/>
  <c r="D12" i="11"/>
  <c r="D26" i="11"/>
  <c r="B26" i="11" s="1"/>
  <c r="D31" i="11"/>
  <c r="B31" i="11" s="1"/>
  <c r="J35" i="11"/>
  <c r="D16" i="13"/>
  <c r="D22" i="13"/>
  <c r="B22" i="13" s="1"/>
  <c r="D28" i="13"/>
  <c r="D34" i="13"/>
  <c r="B34" i="13" s="1"/>
  <c r="D33" i="7"/>
  <c r="C33" i="7" s="1" a="1"/>
  <c r="C33" i="7" s="1"/>
  <c r="D14" i="7"/>
  <c r="D27" i="11"/>
  <c r="D38" i="11"/>
  <c r="C38" i="11" s="1" a="1"/>
  <c r="C38" i="11" s="1"/>
  <c r="D17" i="11"/>
  <c r="D22" i="11"/>
  <c r="J22" i="11" s="1"/>
  <c r="B35" i="11"/>
  <c r="D27" i="7"/>
  <c r="D15" i="7"/>
  <c r="D18" i="11"/>
  <c r="J18" i="11" s="1"/>
  <c r="D32" i="11"/>
  <c r="D11" i="11"/>
  <c r="C11" i="11" s="1" a="1"/>
  <c r="C11" i="11" s="1"/>
  <c r="D16" i="11"/>
  <c r="A16" i="11" s="1"/>
  <c r="D32" i="7"/>
  <c r="D37" i="7"/>
  <c r="D36" i="8"/>
  <c r="C36" i="8" s="1" a="1"/>
  <c r="C36" i="8" s="1"/>
  <c r="D36" i="11"/>
  <c r="D15" i="11"/>
  <c r="J15" i="11" s="1"/>
  <c r="D29" i="11"/>
  <c r="J29" i="11" s="1"/>
  <c r="D34" i="11"/>
  <c r="D13" i="11"/>
  <c r="D20" i="15"/>
  <c r="B20" i="15" s="1"/>
  <c r="D32" i="15"/>
  <c r="A32" i="15" s="1"/>
  <c r="D11" i="15"/>
  <c r="J11" i="15" s="1"/>
  <c r="D17" i="15"/>
  <c r="J17" i="15" s="1"/>
  <c r="D23" i="15"/>
  <c r="C23" i="15" s="1" a="1"/>
  <c r="C23" i="15" s="1"/>
  <c r="D29" i="15"/>
  <c r="C29" i="15" s="1" a="1"/>
  <c r="C29" i="15" s="1"/>
  <c r="D35" i="15"/>
  <c r="B35" i="15" s="1"/>
  <c r="D12" i="15"/>
  <c r="J12" i="15" s="1"/>
  <c r="D18" i="15"/>
  <c r="C18" i="15" s="1" a="1"/>
  <c r="C18" i="15" s="1"/>
  <c r="D24" i="15"/>
  <c r="J24" i="15" s="1"/>
  <c r="D30" i="15"/>
  <c r="B30" i="15" s="1"/>
  <c r="D36" i="15"/>
  <c r="C36" i="15" s="1" a="1"/>
  <c r="C36" i="15" s="1"/>
  <c r="D13" i="15"/>
  <c r="B13" i="15" s="1"/>
  <c r="D19" i="15"/>
  <c r="C19" i="15" s="1" a="1"/>
  <c r="C19" i="15" s="1"/>
  <c r="D25" i="15"/>
  <c r="A25" i="15" s="1"/>
  <c r="D31" i="15"/>
  <c r="A31" i="15" s="1"/>
  <c r="D37" i="15"/>
  <c r="C37" i="15" s="1" a="1"/>
  <c r="C37" i="15" s="1"/>
  <c r="D26" i="15"/>
  <c r="A26" i="15" s="1"/>
  <c r="D14" i="15"/>
  <c r="J14" i="15" s="1"/>
  <c r="D38" i="15"/>
  <c r="A38" i="15" s="1"/>
  <c r="D15" i="15"/>
  <c r="B15" i="15" s="1"/>
  <c r="D21" i="15"/>
  <c r="C21" i="15" s="1" a="1"/>
  <c r="C21" i="15" s="1"/>
  <c r="D27" i="15"/>
  <c r="A27" i="15" s="1"/>
  <c r="D33" i="15"/>
  <c r="A33" i="15" s="1"/>
  <c r="D39" i="15"/>
  <c r="C39" i="15" s="1" a="1"/>
  <c r="C39" i="15" s="1"/>
  <c r="D10" i="15"/>
  <c r="B10" i="15" s="1"/>
  <c r="D16" i="15"/>
  <c r="A16" i="15" s="1"/>
  <c r="D22" i="15"/>
  <c r="B22" i="15" s="1"/>
  <c r="D28" i="15"/>
  <c r="J28" i="15" s="1"/>
  <c r="D34" i="15"/>
  <c r="C34" i="15" s="1" a="1"/>
  <c r="C34" i="15" s="1"/>
  <c r="A12" i="15"/>
  <c r="B12" i="15"/>
  <c r="A37" i="15"/>
  <c r="A23" i="15"/>
  <c r="B29" i="15"/>
  <c r="C26" i="15" a="1"/>
  <c r="C26" i="15" s="1"/>
  <c r="C32" i="15" a="1"/>
  <c r="C32" i="15" s="1"/>
  <c r="B32" i="15"/>
  <c r="C33" i="15" a="1"/>
  <c r="C33" i="15" s="1"/>
  <c r="J33" i="15"/>
  <c r="B18" i="15"/>
  <c r="A24" i="15"/>
  <c r="J36" i="15"/>
  <c r="B36" i="15"/>
  <c r="A36" i="15"/>
  <c r="J19" i="15"/>
  <c r="C10" i="15" a="1"/>
  <c r="C10" i="15" s="1"/>
  <c r="C28" i="15" a="1"/>
  <c r="C28" i="15" s="1"/>
  <c r="B28" i="15"/>
  <c r="A28" i="15"/>
  <c r="A34" i="15"/>
  <c r="C9" i="15" a="1"/>
  <c r="C9" i="15" s="1"/>
  <c r="B9" i="15"/>
  <c r="A9" i="15"/>
  <c r="J9" i="15"/>
  <c r="D14" i="14"/>
  <c r="C14" i="14" s="1" a="1"/>
  <c r="C14" i="14" s="1"/>
  <c r="D19" i="14"/>
  <c r="C19" i="14" s="1" a="1"/>
  <c r="C19" i="14" s="1"/>
  <c r="D12" i="14"/>
  <c r="A12" i="14" s="1"/>
  <c r="D15" i="14"/>
  <c r="J15" i="14" s="1"/>
  <c r="D22" i="14"/>
  <c r="C22" i="14" s="1" a="1"/>
  <c r="C22" i="14" s="1"/>
  <c r="D25" i="14"/>
  <c r="B25" i="14" s="1"/>
  <c r="D30" i="14"/>
  <c r="B30" i="14" s="1"/>
  <c r="D31" i="14"/>
  <c r="J31" i="14" s="1"/>
  <c r="D34" i="14"/>
  <c r="C34" i="14" s="1" a="1"/>
  <c r="C34" i="14" s="1"/>
  <c r="D35" i="14"/>
  <c r="J35" i="14" s="1"/>
  <c r="D16" i="14"/>
  <c r="A16" i="14" s="1"/>
  <c r="D32" i="14"/>
  <c r="B32" i="14" s="1"/>
  <c r="D13" i="14"/>
  <c r="A13" i="14" s="1"/>
  <c r="D23" i="14"/>
  <c r="J23" i="14" s="1"/>
  <c r="D33" i="14"/>
  <c r="A33" i="14" s="1"/>
  <c r="D21" i="14"/>
  <c r="C21" i="14" s="1" a="1"/>
  <c r="C21" i="14" s="1"/>
  <c r="D36" i="14"/>
  <c r="A36" i="14" s="1"/>
  <c r="D17" i="14"/>
  <c r="C17" i="14" s="1" a="1"/>
  <c r="C17" i="14" s="1"/>
  <c r="D26" i="14"/>
  <c r="A26" i="14" s="1"/>
  <c r="D37" i="14"/>
  <c r="B37" i="14" s="1"/>
  <c r="D24" i="14"/>
  <c r="C24" i="14" s="1" a="1"/>
  <c r="C24" i="14" s="1"/>
  <c r="D38" i="14"/>
  <c r="J38" i="14" s="1"/>
  <c r="D18" i="14"/>
  <c r="C18" i="14" s="1" a="1"/>
  <c r="C18" i="14" s="1"/>
  <c r="D28" i="14"/>
  <c r="A28" i="14" s="1"/>
  <c r="D11" i="14"/>
  <c r="C11" i="14" s="1" a="1"/>
  <c r="C11" i="14" s="1"/>
  <c r="D27" i="14"/>
  <c r="C27" i="14" s="1" a="1"/>
  <c r="C27" i="14" s="1"/>
  <c r="D10" i="14"/>
  <c r="C10" i="14" s="1" a="1"/>
  <c r="C10" i="14" s="1"/>
  <c r="D20" i="14"/>
  <c r="A20" i="14" s="1"/>
  <c r="D29" i="14"/>
  <c r="B29" i="14" s="1"/>
  <c r="C26" i="14" a="1"/>
  <c r="C26" i="14" s="1"/>
  <c r="A30" i="14"/>
  <c r="C13" i="14" a="1"/>
  <c r="C13" i="14" s="1"/>
  <c r="B13" i="14"/>
  <c r="B35" i="14"/>
  <c r="A35" i="14"/>
  <c r="J11" i="14"/>
  <c r="B27" i="14"/>
  <c r="J9" i="14"/>
  <c r="A9" i="14"/>
  <c r="C9" i="14" a="1"/>
  <c r="C9" i="14" s="1"/>
  <c r="B9" i="14"/>
  <c r="B14" i="13"/>
  <c r="C14" i="13" a="1"/>
  <c r="C14" i="13" s="1"/>
  <c r="A14" i="13"/>
  <c r="J14" i="13"/>
  <c r="B20" i="13"/>
  <c r="B13" i="13"/>
  <c r="A13" i="13"/>
  <c r="J13" i="13"/>
  <c r="C13" i="13" a="1"/>
  <c r="C13" i="13" s="1"/>
  <c r="B19" i="13"/>
  <c r="A19" i="13"/>
  <c r="J19" i="13"/>
  <c r="C19" i="13" a="1"/>
  <c r="C19" i="13" s="1"/>
  <c r="B25" i="13"/>
  <c r="A25" i="13"/>
  <c r="J25" i="13"/>
  <c r="C25" i="13" a="1"/>
  <c r="C25" i="13" s="1"/>
  <c r="B31" i="13"/>
  <c r="A31" i="13"/>
  <c r="J31" i="13"/>
  <c r="C31" i="13" a="1"/>
  <c r="C31" i="13" s="1"/>
  <c r="B37" i="13"/>
  <c r="C37" i="13" a="1"/>
  <c r="C37" i="13" s="1"/>
  <c r="A37" i="13"/>
  <c r="J37" i="13"/>
  <c r="B15" i="13"/>
  <c r="A15" i="13"/>
  <c r="J15" i="13"/>
  <c r="C15" i="13" a="1"/>
  <c r="C15" i="13" s="1"/>
  <c r="A27" i="13"/>
  <c r="B33" i="13"/>
  <c r="C33" i="13" a="1"/>
  <c r="C33" i="13" s="1"/>
  <c r="A33" i="13"/>
  <c r="J33" i="13"/>
  <c r="C39" i="13" a="1"/>
  <c r="C39" i="13" s="1"/>
  <c r="B16" i="13"/>
  <c r="C16" i="13" a="1"/>
  <c r="C16" i="13" s="1"/>
  <c r="A16" i="13"/>
  <c r="J16" i="13"/>
  <c r="A22" i="13"/>
  <c r="B28" i="13"/>
  <c r="C28" i="13" a="1"/>
  <c r="C28" i="13" s="1"/>
  <c r="A28" i="13"/>
  <c r="J28" i="13"/>
  <c r="A9" i="13"/>
  <c r="J9" i="13"/>
  <c r="C9" i="13" a="1"/>
  <c r="C9" i="13" s="1"/>
  <c r="B9" i="13"/>
  <c r="B32" i="13"/>
  <c r="A32" i="13"/>
  <c r="J32" i="13"/>
  <c r="C32" i="13" a="1"/>
  <c r="C32" i="13" s="1"/>
  <c r="B17" i="13"/>
  <c r="A17" i="13"/>
  <c r="J17" i="13"/>
  <c r="C17" i="13" a="1"/>
  <c r="C17" i="13" s="1"/>
  <c r="B23" i="13"/>
  <c r="A23" i="13"/>
  <c r="J23" i="13"/>
  <c r="C23" i="13" a="1"/>
  <c r="C23" i="13" s="1"/>
  <c r="B29" i="13"/>
  <c r="A29" i="13"/>
  <c r="J29" i="13"/>
  <c r="C29" i="13" a="1"/>
  <c r="C29" i="13" s="1"/>
  <c r="B35" i="13"/>
  <c r="A35" i="13"/>
  <c r="J35" i="13"/>
  <c r="C35" i="13" a="1"/>
  <c r="C35" i="13" s="1"/>
  <c r="B10" i="13"/>
  <c r="J38" i="13"/>
  <c r="B11" i="13"/>
  <c r="A11" i="13"/>
  <c r="J11" i="13"/>
  <c r="C11" i="13" a="1"/>
  <c r="C11" i="13" s="1"/>
  <c r="A18" i="13"/>
  <c r="B24" i="13"/>
  <c r="C24" i="13" a="1"/>
  <c r="C24" i="13" s="1"/>
  <c r="A24" i="13"/>
  <c r="J24" i="13"/>
  <c r="B30" i="13"/>
  <c r="C30" i="13" a="1"/>
  <c r="C30" i="13" s="1"/>
  <c r="A30" i="13"/>
  <c r="J30" i="13"/>
  <c r="B36" i="13"/>
  <c r="A36" i="13"/>
  <c r="J36" i="13"/>
  <c r="C36" i="13" a="1"/>
  <c r="C36" i="13" s="1"/>
  <c r="B12" i="13"/>
  <c r="C12" i="13" a="1"/>
  <c r="C12" i="13" s="1"/>
  <c r="A12" i="13"/>
  <c r="J12" i="13"/>
  <c r="J24" i="12"/>
  <c r="C24" i="12" a="1"/>
  <c r="C24" i="12" s="1"/>
  <c r="A24" i="12"/>
  <c r="B24" i="12"/>
  <c r="J33" i="12"/>
  <c r="C33" i="12" a="1"/>
  <c r="C33" i="12" s="1"/>
  <c r="A33" i="12"/>
  <c r="B33" i="12"/>
  <c r="J21" i="12"/>
  <c r="C21" i="12" a="1"/>
  <c r="C21" i="12" s="1"/>
  <c r="A21" i="12"/>
  <c r="B21" i="12"/>
  <c r="C29" i="12" a="1"/>
  <c r="C29" i="12" s="1"/>
  <c r="A29" i="12"/>
  <c r="J29" i="12"/>
  <c r="B29" i="12"/>
  <c r="C26" i="12" a="1"/>
  <c r="C26" i="12" s="1"/>
  <c r="A26" i="12"/>
  <c r="J26" i="12"/>
  <c r="B26" i="12"/>
  <c r="J27" i="12"/>
  <c r="C27" i="12" a="1"/>
  <c r="C27" i="12" s="1"/>
  <c r="B27" i="12"/>
  <c r="A27" i="12"/>
  <c r="C10" i="12" a="1"/>
  <c r="C10" i="12" s="1"/>
  <c r="B10" i="12"/>
  <c r="A10" i="12"/>
  <c r="J10" i="12"/>
  <c r="C25" i="12" a="1"/>
  <c r="C25" i="12" s="1"/>
  <c r="B25" i="12"/>
  <c r="A25" i="12"/>
  <c r="J25" i="12"/>
  <c r="J38" i="12"/>
  <c r="C38" i="12" a="1"/>
  <c r="C38" i="12" s="1"/>
  <c r="B38" i="12"/>
  <c r="A38" i="12"/>
  <c r="C16" i="12" a="1"/>
  <c r="C16" i="12" s="1"/>
  <c r="B16" i="12"/>
  <c r="A16" i="12"/>
  <c r="J16" i="12"/>
  <c r="J12" i="12"/>
  <c r="C12" i="12" a="1"/>
  <c r="C12" i="12" s="1"/>
  <c r="B12" i="12"/>
  <c r="A12" i="12"/>
  <c r="A18" i="12"/>
  <c r="J18" i="12"/>
  <c r="C18" i="12" a="1"/>
  <c r="C18" i="12" s="1"/>
  <c r="B18" i="12"/>
  <c r="C17" i="12" a="1"/>
  <c r="C17" i="12" s="1"/>
  <c r="A17" i="12"/>
  <c r="J17" i="12"/>
  <c r="B17" i="12"/>
  <c r="C32" i="12" a="1"/>
  <c r="C32" i="12" s="1"/>
  <c r="J32" i="12"/>
  <c r="B32" i="12"/>
  <c r="A32" i="12"/>
  <c r="J15" i="12"/>
  <c r="C15" i="12" a="1"/>
  <c r="C15" i="12" s="1"/>
  <c r="A15" i="12"/>
  <c r="B15" i="12"/>
  <c r="C31" i="12" a="1"/>
  <c r="C31" i="12" s="1"/>
  <c r="A31" i="12"/>
  <c r="B31" i="12"/>
  <c r="J31" i="12"/>
  <c r="A14" i="12"/>
  <c r="C14" i="12" a="1"/>
  <c r="C14" i="12" s="1"/>
  <c r="B14" i="12"/>
  <c r="J14" i="12"/>
  <c r="C22" i="12" a="1"/>
  <c r="C22" i="12" s="1"/>
  <c r="J22" i="12"/>
  <c r="B22" i="12"/>
  <c r="A22" i="12"/>
  <c r="A23" i="12"/>
  <c r="C23" i="12" a="1"/>
  <c r="C23" i="12" s="1"/>
  <c r="B23" i="12"/>
  <c r="J23" i="12"/>
  <c r="C37" i="12" a="1"/>
  <c r="C37" i="12" s="1"/>
  <c r="B37" i="12"/>
  <c r="A37" i="12"/>
  <c r="J37" i="12"/>
  <c r="C36" i="12" a="1"/>
  <c r="C36" i="12" s="1"/>
  <c r="A36" i="12"/>
  <c r="J36" i="12"/>
  <c r="B36" i="12"/>
  <c r="C20" i="12" a="1"/>
  <c r="C20" i="12" s="1"/>
  <c r="B20" i="12"/>
  <c r="A20" i="12"/>
  <c r="J20" i="12"/>
  <c r="C35" i="12" a="1"/>
  <c r="C35" i="12" s="1"/>
  <c r="J35" i="12"/>
  <c r="B35" i="12"/>
  <c r="A35" i="12"/>
  <c r="C34" i="12" a="1"/>
  <c r="C34" i="12" s="1"/>
  <c r="B34" i="12"/>
  <c r="A34" i="12"/>
  <c r="J34" i="12"/>
  <c r="J30" i="12"/>
  <c r="C30" i="12" a="1"/>
  <c r="C30" i="12" s="1"/>
  <c r="B30" i="12"/>
  <c r="A30" i="12"/>
  <c r="C13" i="12" a="1"/>
  <c r="C13" i="12" s="1"/>
  <c r="A13" i="12"/>
  <c r="B13" i="12"/>
  <c r="J13" i="12"/>
  <c r="C28" i="12" a="1"/>
  <c r="C28" i="12" s="1"/>
  <c r="A28" i="12"/>
  <c r="B28" i="12"/>
  <c r="J28" i="12"/>
  <c r="A11" i="12"/>
  <c r="C11" i="12" a="1"/>
  <c r="C11" i="12" s="1"/>
  <c r="J11" i="12"/>
  <c r="B11" i="12"/>
  <c r="C19" i="12" a="1"/>
  <c r="C19" i="12" s="1"/>
  <c r="A19" i="12"/>
  <c r="J19" i="12"/>
  <c r="B19" i="12"/>
  <c r="D21" i="11"/>
  <c r="A21" i="11" s="1"/>
  <c r="L9" i="11"/>
  <c r="D9" i="11" s="1"/>
  <c r="J9" i="11" s="1"/>
  <c r="D20" i="11"/>
  <c r="B20" i="11" s="1"/>
  <c r="D28" i="11"/>
  <c r="J28" i="11" s="1"/>
  <c r="D10" i="11"/>
  <c r="B10" i="11" s="1"/>
  <c r="C27" i="11" a="1"/>
  <c r="C27" i="11" s="1"/>
  <c r="B27" i="11"/>
  <c r="A27" i="11"/>
  <c r="J27" i="11"/>
  <c r="C39" i="11" a="1"/>
  <c r="C39" i="11" s="1"/>
  <c r="B39" i="11"/>
  <c r="A39" i="11"/>
  <c r="J39" i="11"/>
  <c r="C26" i="11" a="1"/>
  <c r="C26" i="11" s="1"/>
  <c r="C34" i="11" a="1"/>
  <c r="C34" i="11" s="1"/>
  <c r="B34" i="11"/>
  <c r="A34" i="11"/>
  <c r="J34" i="11"/>
  <c r="B16" i="11"/>
  <c r="B24" i="11"/>
  <c r="J24" i="11"/>
  <c r="J38" i="11"/>
  <c r="C23" i="11" a="1"/>
  <c r="C23" i="11" s="1"/>
  <c r="B23" i="11"/>
  <c r="A23" i="11"/>
  <c r="J23" i="11"/>
  <c r="C31" i="11" a="1"/>
  <c r="C31" i="11" s="1"/>
  <c r="C13" i="11" a="1"/>
  <c r="C13" i="11" s="1"/>
  <c r="B13" i="11"/>
  <c r="A13" i="11"/>
  <c r="J13" i="11"/>
  <c r="B21" i="11"/>
  <c r="B18" i="11"/>
  <c r="C37" i="11" a="1"/>
  <c r="C37" i="11" s="1"/>
  <c r="B37" i="11"/>
  <c r="A37" i="11"/>
  <c r="J37" i="11"/>
  <c r="C25" i="11" a="1"/>
  <c r="C25" i="11" s="1"/>
  <c r="B25" i="11"/>
  <c r="A25" i="11"/>
  <c r="J25" i="11"/>
  <c r="B33" i="11"/>
  <c r="C15" i="11" a="1"/>
  <c r="C15" i="11" s="1"/>
  <c r="A15" i="11"/>
  <c r="C32" i="11" a="1"/>
  <c r="C32" i="11" s="1"/>
  <c r="B32" i="11"/>
  <c r="A32" i="11"/>
  <c r="J32" i="11"/>
  <c r="C14" i="11" a="1"/>
  <c r="C14" i="11" s="1"/>
  <c r="B14" i="11"/>
  <c r="A14" i="11"/>
  <c r="J14" i="11"/>
  <c r="C22" i="11" a="1"/>
  <c r="C22" i="11" s="1"/>
  <c r="A22" i="11"/>
  <c r="C36" i="11" a="1"/>
  <c r="C36" i="11" s="1"/>
  <c r="B36" i="11"/>
  <c r="A36" i="11"/>
  <c r="J36" i="11"/>
  <c r="C17" i="11" a="1"/>
  <c r="C17" i="11" s="1"/>
  <c r="B17" i="11"/>
  <c r="A17" i="11"/>
  <c r="J17" i="11"/>
  <c r="C30" i="11" a="1"/>
  <c r="C30" i="11" s="1"/>
  <c r="B30" i="11"/>
  <c r="A30" i="11"/>
  <c r="J30" i="11"/>
  <c r="C12" i="11" a="1"/>
  <c r="C12" i="11" s="1"/>
  <c r="B12" i="11"/>
  <c r="A12" i="11"/>
  <c r="J12" i="11"/>
  <c r="A29" i="11"/>
  <c r="A11" i="11"/>
  <c r="C19" i="11" a="1"/>
  <c r="C19" i="11" s="1"/>
  <c r="D20" i="10"/>
  <c r="C20" i="10" s="1" a="1"/>
  <c r="C20" i="10" s="1"/>
  <c r="D21" i="10"/>
  <c r="B21" i="10" s="1"/>
  <c r="D24" i="10"/>
  <c r="A24" i="10" s="1"/>
  <c r="D13" i="10"/>
  <c r="C13" i="10" s="1" a="1"/>
  <c r="C13" i="10" s="1"/>
  <c r="D29" i="10"/>
  <c r="J29" i="10" s="1"/>
  <c r="D39" i="10"/>
  <c r="C39" i="10" s="1" a="1"/>
  <c r="C39" i="10" s="1"/>
  <c r="D16" i="10"/>
  <c r="A16" i="10" s="1"/>
  <c r="D22" i="10"/>
  <c r="J22" i="10" s="1"/>
  <c r="D11" i="10"/>
  <c r="J11" i="10" s="1"/>
  <c r="D25" i="10"/>
  <c r="C25" i="10" s="1" a="1"/>
  <c r="C25" i="10" s="1"/>
  <c r="D36" i="10"/>
  <c r="B36" i="10" s="1"/>
  <c r="D12" i="10"/>
  <c r="J12" i="10" s="1"/>
  <c r="D33" i="10"/>
  <c r="B33" i="10" s="1"/>
  <c r="L9" i="10"/>
  <c r="D9" i="10" s="1"/>
  <c r="J9" i="10" s="1"/>
  <c r="D34" i="10"/>
  <c r="J34" i="10" s="1"/>
  <c r="D30" i="10"/>
  <c r="B30" i="10" s="1"/>
  <c r="B38" i="10"/>
  <c r="D28" i="10"/>
  <c r="J28" i="10" s="1"/>
  <c r="D17" i="10"/>
  <c r="A17" i="10" s="1"/>
  <c r="D35" i="10"/>
  <c r="B35" i="10" s="1"/>
  <c r="D14" i="10"/>
  <c r="J14" i="10" s="1"/>
  <c r="D27" i="10"/>
  <c r="B27" i="10" s="1"/>
  <c r="A38" i="10"/>
  <c r="J38" i="10"/>
  <c r="D19" i="10"/>
  <c r="J19" i="10" s="1"/>
  <c r="D37" i="10"/>
  <c r="C37" i="10" s="1" a="1"/>
  <c r="C37" i="10" s="1"/>
  <c r="D18" i="10"/>
  <c r="A18" i="10" s="1"/>
  <c r="D31" i="10"/>
  <c r="A31" i="10" s="1"/>
  <c r="D26" i="10"/>
  <c r="J26" i="10" s="1"/>
  <c r="D15" i="10"/>
  <c r="A15" i="10" s="1"/>
  <c r="D32" i="10"/>
  <c r="B32" i="10" s="1"/>
  <c r="D10" i="10"/>
  <c r="C10" i="10" s="1" a="1"/>
  <c r="C10" i="10" s="1"/>
  <c r="D23" i="10"/>
  <c r="J23" i="10" s="1"/>
  <c r="J25" i="10"/>
  <c r="C36" i="10" a="1"/>
  <c r="C36" i="10" s="1"/>
  <c r="C33" i="10" a="1"/>
  <c r="C33" i="10" s="1"/>
  <c r="B18" i="10"/>
  <c r="B13" i="10"/>
  <c r="B16" i="10"/>
  <c r="C17" i="10" a="1"/>
  <c r="C17" i="10" s="1"/>
  <c r="B11" i="9"/>
  <c r="A11" i="9"/>
  <c r="J11" i="9"/>
  <c r="C11" i="9" a="1"/>
  <c r="C11" i="9" s="1"/>
  <c r="B17" i="9"/>
  <c r="A17" i="9"/>
  <c r="J17" i="9"/>
  <c r="C17" i="9" a="1"/>
  <c r="C17" i="9" s="1"/>
  <c r="C23" i="9" a="1"/>
  <c r="C23" i="9" s="1"/>
  <c r="B23" i="9"/>
  <c r="J23" i="9"/>
  <c r="A23" i="9"/>
  <c r="C29" i="9" a="1"/>
  <c r="C29" i="9" s="1"/>
  <c r="B29" i="9"/>
  <c r="J29" i="9"/>
  <c r="A29" i="9"/>
  <c r="J9" i="9"/>
  <c r="B9" i="9"/>
  <c r="C9" i="9" a="1"/>
  <c r="C9" i="9" s="1"/>
  <c r="A9" i="9"/>
  <c r="B30" i="9"/>
  <c r="J30" i="9"/>
  <c r="A30" i="9"/>
  <c r="C30" i="9" a="1"/>
  <c r="C30" i="9" s="1"/>
  <c r="B14" i="9"/>
  <c r="A14" i="9"/>
  <c r="J14" i="9"/>
  <c r="C14" i="9" a="1"/>
  <c r="C14" i="9" s="1"/>
  <c r="C20" i="9" a="1"/>
  <c r="C20" i="9" s="1"/>
  <c r="B20" i="9"/>
  <c r="A20" i="9"/>
  <c r="J20" i="9"/>
  <c r="C26" i="9" a="1"/>
  <c r="C26" i="9" s="1"/>
  <c r="B26" i="9"/>
  <c r="A26" i="9"/>
  <c r="J26" i="9"/>
  <c r="B34" i="9"/>
  <c r="J34" i="9"/>
  <c r="A34" i="9"/>
  <c r="C34" i="9" a="1"/>
  <c r="C34" i="9" s="1"/>
  <c r="B31" i="9"/>
  <c r="A31" i="9"/>
  <c r="J31" i="9"/>
  <c r="C31" i="9" a="1"/>
  <c r="C31" i="9" s="1"/>
  <c r="B18" i="9"/>
  <c r="J18" i="9"/>
  <c r="A18" i="9"/>
  <c r="C18" i="9" a="1"/>
  <c r="C18" i="9" s="1"/>
  <c r="B32" i="9"/>
  <c r="J32" i="9"/>
  <c r="A32" i="9"/>
  <c r="C32" i="9" a="1"/>
  <c r="C32" i="9" s="1"/>
  <c r="B13" i="9"/>
  <c r="J13" i="9"/>
  <c r="A13" i="9"/>
  <c r="C13" i="9" a="1"/>
  <c r="C13" i="9" s="1"/>
  <c r="B33" i="9"/>
  <c r="A33" i="9"/>
  <c r="J33" i="9"/>
  <c r="C33" i="9" a="1"/>
  <c r="C33" i="9" s="1"/>
  <c r="B15" i="9"/>
  <c r="J15" i="9"/>
  <c r="A15" i="9"/>
  <c r="C15" i="9" a="1"/>
  <c r="C15" i="9" s="1"/>
  <c r="B21" i="9"/>
  <c r="J21" i="9"/>
  <c r="A21" i="9"/>
  <c r="C21" i="9" a="1"/>
  <c r="C21" i="9" s="1"/>
  <c r="B27" i="9"/>
  <c r="J27" i="9"/>
  <c r="A27" i="9"/>
  <c r="C27" i="9" a="1"/>
  <c r="C27" i="9" s="1"/>
  <c r="C36" i="9" a="1"/>
  <c r="C36" i="9" s="1"/>
  <c r="B36" i="9"/>
  <c r="A36" i="9"/>
  <c r="J36" i="9"/>
  <c r="B35" i="9"/>
  <c r="A35" i="9"/>
  <c r="J35" i="9"/>
  <c r="C35" i="9" a="1"/>
  <c r="C35" i="9" s="1"/>
  <c r="B12" i="9"/>
  <c r="J12" i="9"/>
  <c r="A12" i="9"/>
  <c r="C12" i="9" a="1"/>
  <c r="C12" i="9" s="1"/>
  <c r="B24" i="9"/>
  <c r="A24" i="9"/>
  <c r="J24" i="9"/>
  <c r="C24" i="9" a="1"/>
  <c r="C24" i="9" s="1"/>
  <c r="B19" i="9"/>
  <c r="A19" i="9"/>
  <c r="J19" i="9"/>
  <c r="C19" i="9" a="1"/>
  <c r="C19" i="9" s="1"/>
  <c r="B25" i="9"/>
  <c r="C25" i="9" a="1"/>
  <c r="C25" i="9" s="1"/>
  <c r="A25" i="9"/>
  <c r="J25" i="9"/>
  <c r="B10" i="9"/>
  <c r="J10" i="9"/>
  <c r="A10" i="9"/>
  <c r="C10" i="9" a="1"/>
  <c r="C10" i="9" s="1"/>
  <c r="B16" i="9"/>
  <c r="J16" i="9"/>
  <c r="A16" i="9"/>
  <c r="C16" i="9" a="1"/>
  <c r="C16" i="9" s="1"/>
  <c r="B22" i="9"/>
  <c r="A22" i="9"/>
  <c r="J22" i="9"/>
  <c r="C22" i="9" a="1"/>
  <c r="C22" i="9" s="1"/>
  <c r="B28" i="9"/>
  <c r="A28" i="9"/>
  <c r="J28" i="9"/>
  <c r="C28" i="9" a="1"/>
  <c r="C28" i="9" s="1"/>
  <c r="B37" i="9"/>
  <c r="A37" i="9"/>
  <c r="J37" i="9"/>
  <c r="C37" i="9" a="1"/>
  <c r="C37" i="9" s="1"/>
  <c r="B38" i="9"/>
  <c r="J38" i="9"/>
  <c r="A38" i="9"/>
  <c r="C38" i="9" a="1"/>
  <c r="C38" i="9" s="1"/>
  <c r="D37" i="8"/>
  <c r="D38" i="8"/>
  <c r="D28" i="8"/>
  <c r="D19" i="8"/>
  <c r="D10" i="8"/>
  <c r="D35" i="8"/>
  <c r="D26" i="8"/>
  <c r="D17" i="8"/>
  <c r="D34" i="8"/>
  <c r="D25" i="8"/>
  <c r="D16" i="8"/>
  <c r="D32" i="8"/>
  <c r="D23" i="8"/>
  <c r="D14" i="8"/>
  <c r="D31" i="8"/>
  <c r="D22" i="8"/>
  <c r="D13" i="8"/>
  <c r="D39" i="8"/>
  <c r="D29" i="8"/>
  <c r="D20" i="8"/>
  <c r="D11" i="8"/>
  <c r="C15" i="8" a="1"/>
  <c r="C15" i="8" s="1"/>
  <c r="B15" i="8"/>
  <c r="A15" i="8"/>
  <c r="J15" i="8"/>
  <c r="A12" i="8"/>
  <c r="C12" i="8" a="1"/>
  <c r="C12" i="8" s="1"/>
  <c r="B12" i="8"/>
  <c r="J12" i="8"/>
  <c r="J9" i="8"/>
  <c r="C9" i="8" a="1"/>
  <c r="C9" i="8" s="1"/>
  <c r="A9" i="8"/>
  <c r="B9" i="8"/>
  <c r="J36" i="8"/>
  <c r="C18" i="8" a="1"/>
  <c r="C18" i="8" s="1"/>
  <c r="B18" i="8"/>
  <c r="A18" i="8"/>
  <c r="J18" i="8"/>
  <c r="C27" i="8" a="1"/>
  <c r="C27" i="8" s="1"/>
  <c r="B27" i="8"/>
  <c r="A27" i="8"/>
  <c r="J27" i="8"/>
  <c r="C24" i="8" a="1"/>
  <c r="C24" i="8" s="1"/>
  <c r="B24" i="8"/>
  <c r="A24" i="8"/>
  <c r="J24" i="8"/>
  <c r="C33" i="8" a="1"/>
  <c r="C33" i="8" s="1"/>
  <c r="B33" i="8"/>
  <c r="A33" i="8"/>
  <c r="J33" i="8"/>
  <c r="A21" i="8"/>
  <c r="C21" i="8" a="1"/>
  <c r="C21" i="8" s="1"/>
  <c r="B21" i="8"/>
  <c r="J21" i="8"/>
  <c r="D28" i="7"/>
  <c r="C28" i="7" s="1" a="1"/>
  <c r="C28" i="7" s="1"/>
  <c r="D10" i="7"/>
  <c r="B10" i="7" s="1"/>
  <c r="D24" i="7"/>
  <c r="C24" i="7" s="1" a="1"/>
  <c r="C24" i="7" s="1"/>
  <c r="D36" i="7"/>
  <c r="A36" i="7" s="1"/>
  <c r="D23" i="7"/>
  <c r="C23" i="7" s="1" a="1"/>
  <c r="C23" i="7" s="1"/>
  <c r="D25" i="7"/>
  <c r="C25" i="7" s="1" a="1"/>
  <c r="C25" i="7" s="1"/>
  <c r="L9" i="7"/>
  <c r="D9" i="7" s="1"/>
  <c r="B9" i="7" s="1"/>
  <c r="D21" i="7"/>
  <c r="B21" i="7" s="1"/>
  <c r="D35" i="7"/>
  <c r="C35" i="7" s="1" a="1"/>
  <c r="C35" i="7" s="1"/>
  <c r="D20" i="7"/>
  <c r="C20" i="7" s="1" a="1"/>
  <c r="C20" i="7" s="1"/>
  <c r="D22" i="7"/>
  <c r="C22" i="7" s="1" a="1"/>
  <c r="C22" i="7" s="1"/>
  <c r="D38" i="7"/>
  <c r="A38" i="7" s="1"/>
  <c r="D18" i="7"/>
  <c r="C18" i="7" s="1" a="1"/>
  <c r="C18" i="7" s="1"/>
  <c r="D34" i="7"/>
  <c r="A34" i="7" s="1"/>
  <c r="D16" i="7"/>
  <c r="A16" i="7" s="1"/>
  <c r="D17" i="7"/>
  <c r="A17" i="7" s="1"/>
  <c r="D30" i="7"/>
  <c r="C30" i="7" s="1" a="1"/>
  <c r="C30" i="7" s="1"/>
  <c r="D12" i="7"/>
  <c r="C12" i="7" s="1" a="1"/>
  <c r="C12" i="7" s="1"/>
  <c r="D29" i="7"/>
  <c r="J29" i="7" s="1"/>
  <c r="C19" i="7" a="1"/>
  <c r="C19" i="7" s="1"/>
  <c r="B19" i="7"/>
  <c r="A19" i="7"/>
  <c r="C15" i="7" a="1"/>
  <c r="C15" i="7" s="1"/>
  <c r="J15" i="7"/>
  <c r="B15" i="7"/>
  <c r="A15" i="7"/>
  <c r="B31" i="7"/>
  <c r="C14" i="7" a="1"/>
  <c r="C14" i="7" s="1"/>
  <c r="B14" i="7"/>
  <c r="A14" i="7"/>
  <c r="J14" i="7"/>
  <c r="B29" i="7"/>
  <c r="J37" i="7"/>
  <c r="C37" i="7" a="1"/>
  <c r="C37" i="7" s="1"/>
  <c r="B37" i="7"/>
  <c r="A37" i="7"/>
  <c r="C11" i="7" a="1"/>
  <c r="C11" i="7" s="1"/>
  <c r="A11" i="7"/>
  <c r="B11" i="7"/>
  <c r="J11" i="7"/>
  <c r="C32" i="7" a="1"/>
  <c r="C32" i="7" s="1"/>
  <c r="B32" i="7"/>
  <c r="A32" i="7"/>
  <c r="J32" i="7"/>
  <c r="J13" i="7"/>
  <c r="C13" i="7" a="1"/>
  <c r="C13" i="7" s="1"/>
  <c r="A13" i="7"/>
  <c r="B13" i="7"/>
  <c r="C27" i="7" a="1"/>
  <c r="C27" i="7" s="1"/>
  <c r="J27" i="7"/>
  <c r="B27" i="7"/>
  <c r="A27" i="7"/>
  <c r="J26" i="7"/>
  <c r="C26" i="7" a="1"/>
  <c r="C26" i="7" s="1"/>
  <c r="B26" i="7"/>
  <c r="A26" i="7"/>
  <c r="B28" i="7"/>
  <c r="J28" i="7"/>
  <c r="C21" i="7" a="1"/>
  <c r="C21" i="7" s="1"/>
  <c r="B18" i="7"/>
  <c r="C16" i="7" a="1"/>
  <c r="C16" i="7" s="1"/>
  <c r="D12" i="6"/>
  <c r="J12" i="6" s="1"/>
  <c r="D18" i="6"/>
  <c r="C18" i="6" s="1" a="1"/>
  <c r="C18" i="6" s="1"/>
  <c r="D24" i="6"/>
  <c r="A24" i="6" s="1"/>
  <c r="D30" i="6"/>
  <c r="C30" i="6" s="1" a="1"/>
  <c r="C30" i="6" s="1"/>
  <c r="D36" i="6"/>
  <c r="A36" i="6" s="1"/>
  <c r="D13" i="6"/>
  <c r="J13" i="6" s="1"/>
  <c r="D25" i="6"/>
  <c r="J25" i="6" s="1"/>
  <c r="D31" i="6"/>
  <c r="B31" i="6" s="1"/>
  <c r="D20" i="6"/>
  <c r="J20" i="6" s="1"/>
  <c r="D38" i="6"/>
  <c r="B38" i="6" s="1"/>
  <c r="D15" i="6"/>
  <c r="J15" i="6" s="1"/>
  <c r="D21" i="6"/>
  <c r="C21" i="6" s="1" a="1"/>
  <c r="C21" i="6" s="1"/>
  <c r="D27" i="6"/>
  <c r="A27" i="6" s="1"/>
  <c r="D33" i="6"/>
  <c r="B33" i="6" s="1"/>
  <c r="D39" i="6"/>
  <c r="B39" i="6" s="1"/>
  <c r="D19" i="6"/>
  <c r="J19" i="6" s="1"/>
  <c r="D37" i="6"/>
  <c r="B37" i="6" s="1"/>
  <c r="D14" i="6"/>
  <c r="C14" i="6" s="1" a="1"/>
  <c r="C14" i="6" s="1"/>
  <c r="D26" i="6"/>
  <c r="A26" i="6" s="1"/>
  <c r="D32" i="6"/>
  <c r="B32" i="6" s="1"/>
  <c r="D10" i="6"/>
  <c r="C10" i="6" s="1" a="1"/>
  <c r="C10" i="6" s="1"/>
  <c r="D16" i="6"/>
  <c r="A16" i="6" s="1"/>
  <c r="D22" i="6"/>
  <c r="B22" i="6" s="1"/>
  <c r="D28" i="6"/>
  <c r="B28" i="6" s="1"/>
  <c r="D34" i="6"/>
  <c r="B34" i="6" s="1"/>
  <c r="L9" i="6"/>
  <c r="D9" i="6" s="1"/>
  <c r="D11" i="6"/>
  <c r="C11" i="6" s="1" a="1"/>
  <c r="C11" i="6" s="1"/>
  <c r="D17" i="6"/>
  <c r="B17" i="6" s="1"/>
  <c r="D23" i="6"/>
  <c r="A23" i="6" s="1"/>
  <c r="D29" i="6"/>
  <c r="C29" i="6" s="1" a="1"/>
  <c r="C29" i="6" s="1"/>
  <c r="B35" i="6"/>
  <c r="C35" i="6" a="1"/>
  <c r="C35" i="6" s="1"/>
  <c r="A35" i="6"/>
  <c r="J35" i="6"/>
  <c r="C33" i="6" a="1"/>
  <c r="C33" i="6" s="1"/>
  <c r="B22" i="5"/>
  <c r="A22" i="5"/>
  <c r="C22" i="5" a="1"/>
  <c r="C22" i="5" s="1"/>
  <c r="J22" i="5"/>
  <c r="C35" i="5" a="1"/>
  <c r="C35" i="5" s="1"/>
  <c r="B35" i="5"/>
  <c r="A35" i="5"/>
  <c r="J35" i="5"/>
  <c r="A12" i="5"/>
  <c r="C12" i="5" a="1"/>
  <c r="C12" i="5" s="1"/>
  <c r="B12" i="5"/>
  <c r="J12" i="5"/>
  <c r="A18" i="5"/>
  <c r="B18" i="5"/>
  <c r="J18" i="5"/>
  <c r="C18" i="5" a="1"/>
  <c r="C18" i="5" s="1"/>
  <c r="C24" i="5" a="1"/>
  <c r="C24" i="5" s="1"/>
  <c r="B24" i="5"/>
  <c r="A24" i="5"/>
  <c r="J24" i="5"/>
  <c r="B30" i="5"/>
  <c r="A30" i="5"/>
  <c r="J30" i="5"/>
  <c r="C30" i="5" a="1"/>
  <c r="C30" i="5" s="1"/>
  <c r="A36" i="5"/>
  <c r="B36" i="5"/>
  <c r="J36" i="5"/>
  <c r="C36" i="5" a="1"/>
  <c r="C36" i="5" s="1"/>
  <c r="A34" i="5"/>
  <c r="C34" i="5" a="1"/>
  <c r="C34" i="5" s="1"/>
  <c r="B34" i="5"/>
  <c r="J34" i="5"/>
  <c r="C29" i="5" a="1"/>
  <c r="C29" i="5" s="1"/>
  <c r="A29" i="5"/>
  <c r="B29" i="5"/>
  <c r="J29" i="5"/>
  <c r="B13" i="5"/>
  <c r="A13" i="5"/>
  <c r="J13" i="5"/>
  <c r="C13" i="5" a="1"/>
  <c r="C13" i="5" s="1"/>
  <c r="C19" i="5" a="1"/>
  <c r="C19" i="5" s="1"/>
  <c r="B19" i="5"/>
  <c r="A19" i="5"/>
  <c r="J19" i="5"/>
  <c r="A25" i="5"/>
  <c r="C25" i="5" a="1"/>
  <c r="C25" i="5" s="1"/>
  <c r="B25" i="5"/>
  <c r="J25" i="5"/>
  <c r="B31" i="5"/>
  <c r="A31" i="5"/>
  <c r="C31" i="5" a="1"/>
  <c r="C31" i="5" s="1"/>
  <c r="J31" i="5"/>
  <c r="B10" i="5"/>
  <c r="A10" i="5"/>
  <c r="C10" i="5" a="1"/>
  <c r="C10" i="5" s="1"/>
  <c r="J10" i="5"/>
  <c r="B28" i="5"/>
  <c r="A28" i="5"/>
  <c r="C28" i="5" a="1"/>
  <c r="C28" i="5" s="1"/>
  <c r="J28" i="5"/>
  <c r="A11" i="5"/>
  <c r="B11" i="5"/>
  <c r="J11" i="5"/>
  <c r="C11" i="5" a="1"/>
  <c r="C11" i="5" s="1"/>
  <c r="A23" i="5"/>
  <c r="B23" i="5"/>
  <c r="J23" i="5"/>
  <c r="C23" i="5" a="1"/>
  <c r="C23" i="5" s="1"/>
  <c r="C14" i="5" a="1"/>
  <c r="C14" i="5" s="1"/>
  <c r="A14" i="5"/>
  <c r="B14" i="5"/>
  <c r="J14" i="5"/>
  <c r="B20" i="5"/>
  <c r="A20" i="5"/>
  <c r="C20" i="5" a="1"/>
  <c r="C20" i="5" s="1"/>
  <c r="J20" i="5"/>
  <c r="B26" i="5"/>
  <c r="A26" i="5"/>
  <c r="J26" i="5"/>
  <c r="C26" i="5" a="1"/>
  <c r="C26" i="5" s="1"/>
  <c r="A32" i="5"/>
  <c r="B32" i="5"/>
  <c r="J32" i="5"/>
  <c r="C32" i="5" a="1"/>
  <c r="C32" i="5" s="1"/>
  <c r="B16" i="5"/>
  <c r="A16" i="5"/>
  <c r="J16" i="5"/>
  <c r="C16" i="5" a="1"/>
  <c r="C16" i="5" s="1"/>
  <c r="A17" i="5"/>
  <c r="C17" i="5" a="1"/>
  <c r="C17" i="5" s="1"/>
  <c r="B17" i="5"/>
  <c r="J17" i="5"/>
  <c r="B15" i="5"/>
  <c r="A15" i="5"/>
  <c r="C15" i="5" a="1"/>
  <c r="C15" i="5" s="1"/>
  <c r="J15" i="5"/>
  <c r="A21" i="5"/>
  <c r="B21" i="5"/>
  <c r="J21" i="5"/>
  <c r="C21" i="5" a="1"/>
  <c r="C21" i="5" s="1"/>
  <c r="A27" i="5"/>
  <c r="B27" i="5"/>
  <c r="J27" i="5"/>
  <c r="C27" i="5" a="1"/>
  <c r="C27" i="5" s="1"/>
  <c r="C33" i="5" a="1"/>
  <c r="C33" i="5" s="1"/>
  <c r="B33" i="5"/>
  <c r="A33" i="5"/>
  <c r="J33" i="5"/>
  <c r="C9" i="5" a="1"/>
  <c r="C9" i="5" s="1"/>
  <c r="B9" i="5"/>
  <c r="J9" i="5"/>
  <c r="A9" i="5"/>
  <c r="B9" i="1"/>
  <c r="C9" i="1" a="1"/>
  <c r="C9" i="1" s="1"/>
  <c r="J9" i="1"/>
  <c r="A9" i="1"/>
  <c r="D24" i="1"/>
  <c r="D20" i="1"/>
  <c r="D35" i="1"/>
  <c r="D25" i="1"/>
  <c r="D15" i="1"/>
  <c r="D19" i="1"/>
  <c r="D14" i="1"/>
  <c r="D29" i="1"/>
  <c r="D30" i="1"/>
  <c r="D21" i="1"/>
  <c r="D18" i="1"/>
  <c r="D31" i="1"/>
  <c r="D23" i="1"/>
  <c r="D34" i="1"/>
  <c r="D39" i="1"/>
  <c r="D26" i="1"/>
  <c r="D12" i="1"/>
  <c r="D37" i="1"/>
  <c r="D16" i="1"/>
  <c r="D22" i="1"/>
  <c r="D11" i="1"/>
  <c r="D36" i="1"/>
  <c r="D32" i="1"/>
  <c r="D33" i="1"/>
  <c r="D28" i="1"/>
  <c r="D17" i="1"/>
  <c r="D13" i="1"/>
  <c r="D38" i="1"/>
  <c r="D27" i="1"/>
  <c r="D10" i="1"/>
  <c r="J11" i="11" l="1"/>
  <c r="B22" i="11"/>
  <c r="B15" i="11"/>
  <c r="A24" i="11"/>
  <c r="C38" i="13" a="1"/>
  <c r="C38" i="13" s="1"/>
  <c r="C10" i="13" a="1"/>
  <c r="C10" i="13" s="1"/>
  <c r="B26" i="13"/>
  <c r="C20" i="13" a="1"/>
  <c r="C20" i="13" s="1"/>
  <c r="C25" i="15" a="1"/>
  <c r="C25" i="15" s="1"/>
  <c r="A18" i="15"/>
  <c r="B11" i="15"/>
  <c r="J35" i="7"/>
  <c r="B11" i="11"/>
  <c r="J26" i="11"/>
  <c r="A38" i="13"/>
  <c r="C34" i="13" a="1"/>
  <c r="C34" i="13" s="1"/>
  <c r="J39" i="13"/>
  <c r="B19" i="14"/>
  <c r="C16" i="15" a="1"/>
  <c r="C16" i="15" s="1"/>
  <c r="J18" i="15"/>
  <c r="J26" i="15"/>
  <c r="J30" i="10"/>
  <c r="A26" i="11"/>
  <c r="J34" i="13"/>
  <c r="J26" i="13"/>
  <c r="A39" i="13"/>
  <c r="C9" i="7" a="1"/>
  <c r="C9" i="7" s="1"/>
  <c r="C26" i="10" a="1"/>
  <c r="C26" i="10" s="1"/>
  <c r="A21" i="10"/>
  <c r="J10" i="13"/>
  <c r="A34" i="13"/>
  <c r="A26" i="13"/>
  <c r="J20" i="13"/>
  <c r="J25" i="15"/>
  <c r="B25" i="15"/>
  <c r="A15" i="15"/>
  <c r="J31" i="7"/>
  <c r="A33" i="7"/>
  <c r="B29" i="11"/>
  <c r="C16" i="11" a="1"/>
  <c r="C16" i="11" s="1"/>
  <c r="C18" i="13" a="1"/>
  <c r="C18" i="13" s="1"/>
  <c r="B27" i="13"/>
  <c r="B24" i="15"/>
  <c r="C31" i="7" a="1"/>
  <c r="C31" i="7" s="1"/>
  <c r="B33" i="7"/>
  <c r="J30" i="8"/>
  <c r="C29" i="11" a="1"/>
  <c r="C29" i="11" s="1"/>
  <c r="B18" i="13"/>
  <c r="C21" i="13" a="1"/>
  <c r="C21" i="13" s="1"/>
  <c r="A38" i="14"/>
  <c r="C24" i="15" a="1"/>
  <c r="C24" i="15" s="1"/>
  <c r="J21" i="15"/>
  <c r="J33" i="7"/>
  <c r="B30" i="8"/>
  <c r="J19" i="11"/>
  <c r="J31" i="11"/>
  <c r="J21" i="13"/>
  <c r="J31" i="15"/>
  <c r="B21" i="15"/>
  <c r="C30" i="8" a="1"/>
  <c r="C30" i="8" s="1"/>
  <c r="A19" i="11"/>
  <c r="A31" i="11"/>
  <c r="J16" i="11"/>
  <c r="C27" i="13" a="1"/>
  <c r="C27" i="13" s="1"/>
  <c r="A21" i="13"/>
  <c r="C31" i="15" a="1"/>
  <c r="C31" i="15" s="1"/>
  <c r="C27" i="6" a="1"/>
  <c r="C27" i="6" s="1"/>
  <c r="J34" i="7"/>
  <c r="B15" i="14"/>
  <c r="A21" i="14"/>
  <c r="A17" i="15"/>
  <c r="J18" i="7"/>
  <c r="C27" i="10" a="1"/>
  <c r="C27" i="10" s="1"/>
  <c r="C19" i="10" a="1"/>
  <c r="C19" i="10" s="1"/>
  <c r="B34" i="14"/>
  <c r="B14" i="14"/>
  <c r="J10" i="15"/>
  <c r="C25" i="6" a="1"/>
  <c r="C25" i="6" s="1"/>
  <c r="C36" i="7" a="1"/>
  <c r="C36" i="7" s="1"/>
  <c r="A24" i="7"/>
  <c r="A32" i="10"/>
  <c r="C31" i="10" a="1"/>
  <c r="C31" i="10" s="1"/>
  <c r="B12" i="14"/>
  <c r="J16" i="15"/>
  <c r="J38" i="15"/>
  <c r="A32" i="6"/>
  <c r="A18" i="7"/>
  <c r="A29" i="7"/>
  <c r="J24" i="7"/>
  <c r="A23" i="10"/>
  <c r="J17" i="10"/>
  <c r="A20" i="10"/>
  <c r="B28" i="11"/>
  <c r="C20" i="14" a="1"/>
  <c r="C20" i="14" s="1"/>
  <c r="C35" i="14" a="1"/>
  <c r="C35" i="14" s="1"/>
  <c r="J34" i="15"/>
  <c r="J27" i="15"/>
  <c r="C29" i="7" a="1"/>
  <c r="C29" i="7" s="1"/>
  <c r="C32" i="10" a="1"/>
  <c r="C32" i="10" s="1"/>
  <c r="A34" i="10"/>
  <c r="A19" i="10"/>
  <c r="J33" i="10"/>
  <c r="A12" i="6"/>
  <c r="J16" i="7"/>
  <c r="A35" i="7"/>
  <c r="A28" i="7"/>
  <c r="B24" i="10"/>
  <c r="J16" i="10"/>
  <c r="B38" i="14"/>
  <c r="J19" i="14"/>
  <c r="A14" i="14"/>
  <c r="A22" i="15"/>
  <c r="B31" i="15"/>
  <c r="B19" i="15"/>
  <c r="B33" i="15"/>
  <c r="B38" i="15"/>
  <c r="J29" i="15"/>
  <c r="C30" i="15" a="1"/>
  <c r="C30" i="15" s="1"/>
  <c r="B26" i="6"/>
  <c r="B36" i="6"/>
  <c r="B20" i="7"/>
  <c r="B36" i="7"/>
  <c r="J35" i="10"/>
  <c r="J13" i="10"/>
  <c r="J20" i="14"/>
  <c r="C15" i="14" a="1"/>
  <c r="C15" i="14" s="1"/>
  <c r="J16" i="14"/>
  <c r="J21" i="14"/>
  <c r="B34" i="15"/>
  <c r="B26" i="15"/>
  <c r="B23" i="15"/>
  <c r="J27" i="6"/>
  <c r="J34" i="6"/>
  <c r="A25" i="6"/>
  <c r="C24" i="10" a="1"/>
  <c r="C24" i="10" s="1"/>
  <c r="J37" i="10"/>
  <c r="C28" i="11" a="1"/>
  <c r="C28" i="11" s="1"/>
  <c r="C29" i="14" a="1"/>
  <c r="C29" i="14" s="1"/>
  <c r="C38" i="14" a="1"/>
  <c r="C38" i="14" s="1"/>
  <c r="A15" i="14"/>
  <c r="B27" i="15"/>
  <c r="B37" i="15"/>
  <c r="L6" i="13"/>
  <c r="M10" i="13" s="1"/>
  <c r="J26" i="6"/>
  <c r="J31" i="6"/>
  <c r="J21" i="7"/>
  <c r="A10" i="7"/>
  <c r="J17" i="7"/>
  <c r="J9" i="7"/>
  <c r="L6" i="7"/>
  <c r="M10" i="7" s="1"/>
  <c r="J32" i="10"/>
  <c r="J27" i="10"/>
  <c r="J20" i="10"/>
  <c r="J21" i="11"/>
  <c r="B9" i="11"/>
  <c r="L6" i="11"/>
  <c r="M10" i="11" s="1"/>
  <c r="B20" i="14"/>
  <c r="J37" i="14"/>
  <c r="C23" i="14" a="1"/>
  <c r="C23" i="14" s="1"/>
  <c r="J14" i="14"/>
  <c r="B21" i="14"/>
  <c r="C22" i="15" a="1"/>
  <c r="C22" i="15" s="1"/>
  <c r="A19" i="15"/>
  <c r="C27" i="15" a="1"/>
  <c r="C27" i="15" s="1"/>
  <c r="C38" i="15" a="1"/>
  <c r="C38" i="15" s="1"/>
  <c r="C11" i="15" a="1"/>
  <c r="C11" i="15" s="1"/>
  <c r="L6" i="8"/>
  <c r="M10" i="8" s="1"/>
  <c r="L6" i="1"/>
  <c r="M10" i="1" s="1"/>
  <c r="L6" i="15"/>
  <c r="M10" i="15" s="1"/>
  <c r="B9" i="6"/>
  <c r="L6" i="6"/>
  <c r="M10" i="6" s="1"/>
  <c r="B9" i="10"/>
  <c r="L6" i="10"/>
  <c r="M10" i="10" s="1"/>
  <c r="J29" i="6"/>
  <c r="L6" i="14"/>
  <c r="M10" i="14" s="1"/>
  <c r="A28" i="6"/>
  <c r="C26" i="6" a="1"/>
  <c r="C26" i="6" s="1"/>
  <c r="A33" i="6"/>
  <c r="C38" i="6" a="1"/>
  <c r="C38" i="6" s="1"/>
  <c r="C13" i="6" a="1"/>
  <c r="C13" i="6" s="1"/>
  <c r="B34" i="7"/>
  <c r="A25" i="7"/>
  <c r="J23" i="7"/>
  <c r="A10" i="10"/>
  <c r="B17" i="10"/>
  <c r="C16" i="10" a="1"/>
  <c r="C16" i="10" s="1"/>
  <c r="J31" i="10"/>
  <c r="C30" i="10" a="1"/>
  <c r="C30" i="10" s="1"/>
  <c r="A33" i="10"/>
  <c r="J13" i="14"/>
  <c r="J30" i="14"/>
  <c r="J26" i="14"/>
  <c r="B16" i="15"/>
  <c r="C15" i="15" a="1"/>
  <c r="C15" i="15" s="1"/>
  <c r="C28" i="6" a="1"/>
  <c r="C28" i="6" s="1"/>
  <c r="J9" i="6"/>
  <c r="J16" i="6"/>
  <c r="B14" i="6"/>
  <c r="J18" i="6"/>
  <c r="A34" i="6"/>
  <c r="C32" i="6" a="1"/>
  <c r="C32" i="6" s="1"/>
  <c r="A29" i="6"/>
  <c r="B21" i="6"/>
  <c r="B25" i="6"/>
  <c r="B12" i="6"/>
  <c r="J20" i="7"/>
  <c r="B17" i="7"/>
  <c r="A35" i="10"/>
  <c r="A11" i="10"/>
  <c r="B31" i="10"/>
  <c r="B19" i="10"/>
  <c r="B20" i="10"/>
  <c r="B25" i="10"/>
  <c r="C9" i="11" a="1"/>
  <c r="C9" i="11" s="1"/>
  <c r="A20" i="11"/>
  <c r="A11" i="14"/>
  <c r="C37" i="14" a="1"/>
  <c r="C37" i="14" s="1"/>
  <c r="A23" i="14"/>
  <c r="C31" i="14" a="1"/>
  <c r="C31" i="14" s="1"/>
  <c r="J22" i="15"/>
  <c r="A10" i="15"/>
  <c r="J15" i="15"/>
  <c r="C12" i="15" a="1"/>
  <c r="C12" i="15" s="1"/>
  <c r="J28" i="6"/>
  <c r="B29" i="6"/>
  <c r="A21" i="6"/>
  <c r="A13" i="6"/>
  <c r="C17" i="7" a="1"/>
  <c r="C17" i="7" s="1"/>
  <c r="J17" i="6"/>
  <c r="B19" i="6"/>
  <c r="A30" i="6"/>
  <c r="C23" i="6" a="1"/>
  <c r="C23" i="6" s="1"/>
  <c r="A21" i="7"/>
  <c r="C10" i="7" a="1"/>
  <c r="C10" i="7" s="1"/>
  <c r="J10" i="10"/>
  <c r="C35" i="10" a="1"/>
  <c r="C35" i="10" s="1"/>
  <c r="A9" i="10"/>
  <c r="B37" i="10"/>
  <c r="C21" i="10" a="1"/>
  <c r="C21" i="10" s="1"/>
  <c r="B22" i="10"/>
  <c r="J18" i="14"/>
  <c r="C13" i="15" a="1"/>
  <c r="C13" i="15" s="1"/>
  <c r="C19" i="6" a="1"/>
  <c r="C19" i="6" s="1"/>
  <c r="B30" i="6"/>
  <c r="C12" i="6" a="1"/>
  <c r="C12" i="6" s="1"/>
  <c r="B16" i="7"/>
  <c r="C34" i="7" a="1"/>
  <c r="C34" i="7" s="1"/>
  <c r="A20" i="7"/>
  <c r="J36" i="7"/>
  <c r="J10" i="7"/>
  <c r="B12" i="7"/>
  <c r="B10" i="10"/>
  <c r="A14" i="10"/>
  <c r="C9" i="10" a="1"/>
  <c r="C9" i="10" s="1"/>
  <c r="A37" i="10"/>
  <c r="A30" i="10"/>
  <c r="J21" i="10"/>
  <c r="A22" i="10"/>
  <c r="C21" i="11" a="1"/>
  <c r="C21" i="11" s="1"/>
  <c r="B18" i="14"/>
  <c r="A22" i="14"/>
  <c r="J32" i="15"/>
  <c r="C20" i="15" a="1"/>
  <c r="C20" i="15" s="1"/>
  <c r="A11" i="15"/>
  <c r="A38" i="6"/>
  <c r="B24" i="6"/>
  <c r="C14" i="10" a="1"/>
  <c r="C14" i="10" s="1"/>
  <c r="C22" i="10" a="1"/>
  <c r="C22" i="10" s="1"/>
  <c r="J36" i="14"/>
  <c r="B36" i="14"/>
  <c r="C16" i="14" a="1"/>
  <c r="C16" i="14" s="1"/>
  <c r="B16" i="6"/>
  <c r="A17" i="6"/>
  <c r="J38" i="6"/>
  <c r="C34" i="6" a="1"/>
  <c r="C34" i="6" s="1"/>
  <c r="C16" i="6" a="1"/>
  <c r="C16" i="6" s="1"/>
  <c r="J14" i="6"/>
  <c r="C17" i="6" a="1"/>
  <c r="C17" i="6" s="1"/>
  <c r="B27" i="6"/>
  <c r="C20" i="6" a="1"/>
  <c r="C20" i="6" s="1"/>
  <c r="A19" i="6"/>
  <c r="J30" i="6"/>
  <c r="C38" i="7" a="1"/>
  <c r="C38" i="7" s="1"/>
  <c r="B35" i="7"/>
  <c r="C23" i="10" a="1"/>
  <c r="C23" i="10" s="1"/>
  <c r="A27" i="10"/>
  <c r="C34" i="10" a="1"/>
  <c r="C34" i="10" s="1"/>
  <c r="C11" i="10" a="1"/>
  <c r="C11" i="10" s="1"/>
  <c r="A13" i="10"/>
  <c r="J18" i="10"/>
  <c r="B11" i="14"/>
  <c r="A37" i="14"/>
  <c r="B23" i="14"/>
  <c r="B31" i="14"/>
  <c r="C30" i="14" a="1"/>
  <c r="C30" i="14" s="1"/>
  <c r="B26" i="14"/>
  <c r="C9" i="6" a="1"/>
  <c r="C9" i="6" s="1"/>
  <c r="J32" i="6"/>
  <c r="J33" i="6"/>
  <c r="B20" i="6"/>
  <c r="J24" i="6"/>
  <c r="B38" i="7"/>
  <c r="J25" i="7"/>
  <c r="A12" i="7"/>
  <c r="A26" i="10"/>
  <c r="J24" i="10"/>
  <c r="B34" i="10"/>
  <c r="B11" i="10"/>
  <c r="C18" i="10" a="1"/>
  <c r="C18" i="10" s="1"/>
  <c r="A28" i="11"/>
  <c r="A33" i="11"/>
  <c r="A18" i="11"/>
  <c r="J22" i="13"/>
  <c r="B10" i="14"/>
  <c r="J28" i="14"/>
  <c r="J34" i="14"/>
  <c r="C33" i="14" a="1"/>
  <c r="C33" i="14" s="1"/>
  <c r="A31" i="14"/>
  <c r="C12" i="14" a="1"/>
  <c r="C12" i="14" s="1"/>
  <c r="J13" i="15"/>
  <c r="J20" i="15"/>
  <c r="A35" i="15"/>
  <c r="C35" i="15" a="1"/>
  <c r="C35" i="15" s="1"/>
  <c r="J39" i="6"/>
  <c r="B25" i="7"/>
  <c r="J12" i="7"/>
  <c r="A36" i="8"/>
  <c r="J15" i="10"/>
  <c r="A39" i="10"/>
  <c r="A28" i="10"/>
  <c r="A12" i="10"/>
  <c r="C33" i="11" a="1"/>
  <c r="C33" i="11" s="1"/>
  <c r="C18" i="11" a="1"/>
  <c r="C18" i="11" s="1"/>
  <c r="A38" i="11"/>
  <c r="C22" i="13" a="1"/>
  <c r="C22" i="13" s="1"/>
  <c r="J39" i="15"/>
  <c r="A14" i="15"/>
  <c r="A10" i="6"/>
  <c r="J10" i="6"/>
  <c r="A14" i="6"/>
  <c r="A39" i="6"/>
  <c r="J21" i="6"/>
  <c r="A31" i="6"/>
  <c r="B13" i="6"/>
  <c r="A18" i="6"/>
  <c r="B11" i="6"/>
  <c r="A9" i="7"/>
  <c r="B24" i="7"/>
  <c r="B36" i="8"/>
  <c r="B23" i="10"/>
  <c r="B15" i="10"/>
  <c r="B39" i="10"/>
  <c r="B14" i="10"/>
  <c r="B28" i="10"/>
  <c r="B12" i="10"/>
  <c r="A29" i="10"/>
  <c r="A9" i="11"/>
  <c r="B38" i="11"/>
  <c r="J10" i="14"/>
  <c r="A19" i="14"/>
  <c r="A39" i="15"/>
  <c r="A21" i="15"/>
  <c r="B14" i="15"/>
  <c r="A29" i="15"/>
  <c r="C17" i="15" a="1"/>
  <c r="C17" i="15" s="1"/>
  <c r="A9" i="6"/>
  <c r="J38" i="7"/>
  <c r="C15" i="10" a="1"/>
  <c r="C15" i="10" s="1"/>
  <c r="J39" i="10"/>
  <c r="C28" i="10" a="1"/>
  <c r="C28" i="10" s="1"/>
  <c r="C12" i="10" a="1"/>
  <c r="C12" i="10" s="1"/>
  <c r="A10" i="14"/>
  <c r="A34" i="14"/>
  <c r="J12" i="14"/>
  <c r="A13" i="15"/>
  <c r="B39" i="15"/>
  <c r="A20" i="15"/>
  <c r="C14" i="15" a="1"/>
  <c r="C14" i="15" s="1"/>
  <c r="B10" i="6"/>
  <c r="C39" i="6" a="1"/>
  <c r="C39" i="6" s="1"/>
  <c r="A20" i="6"/>
  <c r="C31" i="6" a="1"/>
  <c r="C31" i="6" s="1"/>
  <c r="B18" i="6"/>
  <c r="C24" i="6" a="1"/>
  <c r="C24" i="6" s="1"/>
  <c r="J30" i="7"/>
  <c r="J20" i="11"/>
  <c r="A25" i="14"/>
  <c r="J35" i="15"/>
  <c r="J23" i="15"/>
  <c r="B17" i="15"/>
  <c r="J37" i="15"/>
  <c r="J30" i="15"/>
  <c r="A30" i="15"/>
  <c r="A32" i="14"/>
  <c r="J17" i="14"/>
  <c r="C28" i="14" a="1"/>
  <c r="C28" i="14" s="1"/>
  <c r="J25" i="14"/>
  <c r="C32" i="14" a="1"/>
  <c r="C32" i="14" s="1"/>
  <c r="B16" i="14"/>
  <c r="J22" i="14"/>
  <c r="C25" i="14" a="1"/>
  <c r="C25" i="14" s="1"/>
  <c r="A29" i="14"/>
  <c r="A17" i="14"/>
  <c r="B28" i="14"/>
  <c r="J32" i="14"/>
  <c r="B22" i="14"/>
  <c r="J29" i="14"/>
  <c r="B17" i="14"/>
  <c r="A18" i="14"/>
  <c r="C36" i="14" a="1"/>
  <c r="C36" i="14" s="1"/>
  <c r="J27" i="14"/>
  <c r="B33" i="14"/>
  <c r="J24" i="14"/>
  <c r="A24" i="14"/>
  <c r="A27" i="14"/>
  <c r="B24" i="14"/>
  <c r="J33" i="14"/>
  <c r="C10" i="11" a="1"/>
  <c r="C10" i="11" s="1"/>
  <c r="C20" i="11" a="1"/>
  <c r="C20" i="11" s="1"/>
  <c r="J10" i="11"/>
  <c r="A10" i="11"/>
  <c r="A36" i="10"/>
  <c r="B29" i="10"/>
  <c r="B26" i="10"/>
  <c r="J36" i="10"/>
  <c r="C29" i="10" a="1"/>
  <c r="C29" i="10" s="1"/>
  <c r="A25" i="10"/>
  <c r="J13" i="8"/>
  <c r="C13" i="8" a="1"/>
  <c r="C13" i="8" s="1"/>
  <c r="A13" i="8"/>
  <c r="B13" i="8"/>
  <c r="J10" i="8"/>
  <c r="A10" i="8"/>
  <c r="C10" i="8" a="1"/>
  <c r="C10" i="8" s="1"/>
  <c r="B10" i="8"/>
  <c r="B39" i="8"/>
  <c r="J39" i="8"/>
  <c r="C39" i="8" a="1"/>
  <c r="C39" i="8" s="1"/>
  <c r="A39" i="8"/>
  <c r="B32" i="8"/>
  <c r="J32" i="8"/>
  <c r="C32" i="8" a="1"/>
  <c r="C32" i="8" s="1"/>
  <c r="A32" i="8"/>
  <c r="J35" i="8"/>
  <c r="A35" i="8"/>
  <c r="C35" i="8" a="1"/>
  <c r="C35" i="8" s="1"/>
  <c r="B35" i="8"/>
  <c r="J22" i="8"/>
  <c r="C22" i="8" a="1"/>
  <c r="C22" i="8" s="1"/>
  <c r="B22" i="8"/>
  <c r="A22" i="8"/>
  <c r="B25" i="8"/>
  <c r="J25" i="8"/>
  <c r="C25" i="8" a="1"/>
  <c r="C25" i="8" s="1"/>
  <c r="A25" i="8"/>
  <c r="J19" i="8"/>
  <c r="B19" i="8"/>
  <c r="A19" i="8"/>
  <c r="C19" i="8" a="1"/>
  <c r="C19" i="8" s="1"/>
  <c r="J11" i="8"/>
  <c r="B11" i="8"/>
  <c r="C11" i="8" a="1"/>
  <c r="C11" i="8" s="1"/>
  <c r="A11" i="8"/>
  <c r="A31" i="8"/>
  <c r="C31" i="8" a="1"/>
  <c r="C31" i="8" s="1"/>
  <c r="B31" i="8"/>
  <c r="J31" i="8"/>
  <c r="B34" i="8"/>
  <c r="A34" i="8"/>
  <c r="J34" i="8"/>
  <c r="C34" i="8" a="1"/>
  <c r="C34" i="8" s="1"/>
  <c r="J28" i="8"/>
  <c r="B28" i="8"/>
  <c r="A28" i="8"/>
  <c r="C28" i="8" a="1"/>
  <c r="C28" i="8" s="1"/>
  <c r="C16" i="8" a="1"/>
  <c r="C16" i="8" s="1"/>
  <c r="B16" i="8"/>
  <c r="A16" i="8"/>
  <c r="J16" i="8"/>
  <c r="J20" i="8"/>
  <c r="C20" i="8" a="1"/>
  <c r="C20" i="8" s="1"/>
  <c r="B20" i="8"/>
  <c r="A20" i="8"/>
  <c r="J14" i="8"/>
  <c r="A14" i="8"/>
  <c r="C14" i="8" a="1"/>
  <c r="C14" i="8" s="1"/>
  <c r="B14" i="8"/>
  <c r="J17" i="8"/>
  <c r="A17" i="8"/>
  <c r="B17" i="8"/>
  <c r="C17" i="8" a="1"/>
  <c r="C17" i="8" s="1"/>
  <c r="A38" i="8"/>
  <c r="J38" i="8"/>
  <c r="C38" i="8" a="1"/>
  <c r="C38" i="8" s="1"/>
  <c r="B38" i="8"/>
  <c r="J29" i="8"/>
  <c r="C29" i="8" a="1"/>
  <c r="C29" i="8" s="1"/>
  <c r="B29" i="8"/>
  <c r="A29" i="8"/>
  <c r="A23" i="8"/>
  <c r="C23" i="8" a="1"/>
  <c r="C23" i="8" s="1"/>
  <c r="J23" i="8"/>
  <c r="B23" i="8"/>
  <c r="J26" i="8"/>
  <c r="B26" i="8"/>
  <c r="A26" i="8"/>
  <c r="C26" i="8" a="1"/>
  <c r="C26" i="8" s="1"/>
  <c r="A37" i="8"/>
  <c r="J37" i="8"/>
  <c r="C37" i="8" a="1"/>
  <c r="C37" i="8" s="1"/>
  <c r="B37" i="8"/>
  <c r="J22" i="7"/>
  <c r="B23" i="7"/>
  <c r="A30" i="7"/>
  <c r="A22" i="7"/>
  <c r="A23" i="7"/>
  <c r="B30" i="7"/>
  <c r="B22" i="7"/>
  <c r="C36" i="6" a="1"/>
  <c r="C36" i="6" s="1"/>
  <c r="B23" i="6"/>
  <c r="J22" i="6"/>
  <c r="A15" i="6"/>
  <c r="J37" i="6"/>
  <c r="A11" i="6"/>
  <c r="A22" i="6"/>
  <c r="B15" i="6"/>
  <c r="A37" i="6"/>
  <c r="C22" i="6" a="1"/>
  <c r="C22" i="6" s="1"/>
  <c r="C15" i="6" a="1"/>
  <c r="C15" i="6" s="1"/>
  <c r="C37" i="6" a="1"/>
  <c r="C37" i="6" s="1"/>
  <c r="J36" i="6"/>
  <c r="J23" i="6"/>
  <c r="J11" i="6"/>
  <c r="B28" i="1"/>
  <c r="C28" i="1" a="1"/>
  <c r="C28" i="1" s="1"/>
  <c r="B23" i="1"/>
  <c r="C23" i="1" a="1"/>
  <c r="C23" i="1" s="1"/>
  <c r="B14" i="1"/>
  <c r="C14" i="1" a="1"/>
  <c r="C14" i="1" s="1"/>
  <c r="B24" i="1"/>
  <c r="C24" i="1" a="1"/>
  <c r="C24" i="1" s="1"/>
  <c r="B10" i="1"/>
  <c r="C10" i="1" a="1"/>
  <c r="C10" i="1" s="1"/>
  <c r="B33" i="1"/>
  <c r="C33" i="1" a="1"/>
  <c r="C33" i="1" s="1"/>
  <c r="B37" i="1"/>
  <c r="C37" i="1" a="1"/>
  <c r="C37" i="1" s="1"/>
  <c r="B31" i="1"/>
  <c r="C31" i="1" a="1"/>
  <c r="C31" i="1" s="1"/>
  <c r="B38" i="1"/>
  <c r="C38" i="1" a="1"/>
  <c r="C38" i="1" s="1"/>
  <c r="B36" i="1"/>
  <c r="C36" i="1" a="1"/>
  <c r="C36" i="1" s="1"/>
  <c r="B26" i="1"/>
  <c r="C26" i="1" a="1"/>
  <c r="C26" i="1" s="1"/>
  <c r="B21" i="1"/>
  <c r="C21" i="1" a="1"/>
  <c r="C21" i="1" s="1"/>
  <c r="B25" i="1"/>
  <c r="C25" i="1" a="1"/>
  <c r="C25" i="1" s="1"/>
  <c r="B13" i="1"/>
  <c r="C13" i="1" a="1"/>
  <c r="C13" i="1" s="1"/>
  <c r="B11" i="1"/>
  <c r="C11" i="1" a="1"/>
  <c r="C11" i="1" s="1"/>
  <c r="B39" i="1"/>
  <c r="C39" i="1" a="1"/>
  <c r="C39" i="1" s="1"/>
  <c r="B30" i="1"/>
  <c r="C30" i="1" a="1"/>
  <c r="C30" i="1" s="1"/>
  <c r="B35" i="1"/>
  <c r="C35" i="1" a="1"/>
  <c r="C35" i="1" s="1"/>
  <c r="B17" i="1"/>
  <c r="C17" i="1" a="1"/>
  <c r="C17" i="1" s="1"/>
  <c r="B22" i="1"/>
  <c r="C22" i="1" a="1"/>
  <c r="C22" i="1" s="1"/>
  <c r="B34" i="1"/>
  <c r="C34" i="1" a="1"/>
  <c r="C34" i="1" s="1"/>
  <c r="B29" i="1"/>
  <c r="C29" i="1" a="1"/>
  <c r="C29" i="1" s="1"/>
  <c r="B20" i="1"/>
  <c r="C20" i="1" a="1"/>
  <c r="C20" i="1" s="1"/>
  <c r="B27" i="1"/>
  <c r="C27" i="1" a="1"/>
  <c r="C27" i="1" s="1"/>
  <c r="B32" i="1"/>
  <c r="C32" i="1" a="1"/>
  <c r="C32" i="1" s="1"/>
  <c r="B12" i="1"/>
  <c r="C12" i="1" a="1"/>
  <c r="C12" i="1" s="1"/>
  <c r="B18" i="1"/>
  <c r="C18" i="1" a="1"/>
  <c r="C18" i="1" s="1"/>
  <c r="B15" i="1"/>
  <c r="C15" i="1" a="1"/>
  <c r="C15" i="1" s="1"/>
  <c r="B16" i="1"/>
  <c r="C16" i="1" a="1"/>
  <c r="C16" i="1" s="1"/>
  <c r="B19" i="1"/>
  <c r="C19" i="1" a="1"/>
  <c r="C19" i="1" s="1"/>
  <c r="A27" i="1"/>
  <c r="J27" i="1"/>
  <c r="J32" i="1"/>
  <c r="A32" i="1"/>
  <c r="A12" i="1"/>
  <c r="J12" i="1"/>
  <c r="A18" i="1"/>
  <c r="J18" i="1"/>
  <c r="A15" i="1"/>
  <c r="J15" i="1"/>
  <c r="J38" i="1"/>
  <c r="A38" i="1"/>
  <c r="A36" i="1"/>
  <c r="J36" i="1"/>
  <c r="J26" i="1"/>
  <c r="A26" i="1"/>
  <c r="A21" i="1"/>
  <c r="J21" i="1"/>
  <c r="J25" i="1"/>
  <c r="A25" i="1"/>
  <c r="J11" i="1"/>
  <c r="A11" i="1"/>
  <c r="J35" i="1"/>
  <c r="A35" i="1"/>
  <c r="J22" i="1"/>
  <c r="A22" i="1"/>
  <c r="J29" i="1"/>
  <c r="A29" i="1"/>
  <c r="J20" i="1"/>
  <c r="A20" i="1"/>
  <c r="J28" i="1"/>
  <c r="A28" i="1"/>
  <c r="J16" i="1"/>
  <c r="A16" i="1"/>
  <c r="J23" i="1"/>
  <c r="A23" i="1"/>
  <c r="J14" i="1"/>
  <c r="A14" i="1"/>
  <c r="A24" i="1"/>
  <c r="J24" i="1"/>
  <c r="J13" i="1"/>
  <c r="A13" i="1"/>
  <c r="A39" i="1"/>
  <c r="J39" i="1"/>
  <c r="A30" i="1"/>
  <c r="J30" i="1"/>
  <c r="J17" i="1"/>
  <c r="A17" i="1"/>
  <c r="J34" i="1"/>
  <c r="A34" i="1"/>
  <c r="J10" i="1"/>
  <c r="A10" i="1"/>
  <c r="A33" i="1"/>
  <c r="J33" i="1"/>
  <c r="J37" i="1"/>
  <c r="A37" i="1"/>
  <c r="J31" i="1"/>
  <c r="A31" i="1"/>
  <c r="J19" i="1"/>
  <c r="A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<sst xmlns="http://schemas.openxmlformats.org/spreadsheetml/2006/main" count="353" uniqueCount="89">
  <si>
    <t>Peralta Community College District</t>
  </si>
  <si>
    <t>Last Name:</t>
  </si>
  <si>
    <t xml:space="preserve">First Name: </t>
  </si>
  <si>
    <t>Day</t>
  </si>
  <si>
    <t>LEAVE OF ABSENCE REPORT (Classified)</t>
  </si>
  <si>
    <t>Code</t>
  </si>
  <si>
    <t>Comments</t>
  </si>
  <si>
    <t>Date</t>
  </si>
  <si>
    <t>Location:</t>
  </si>
  <si>
    <t>Month:</t>
  </si>
  <si>
    <r>
      <rPr>
        <b/>
        <sz val="14"/>
        <color rgb="FFFFFFFF"/>
        <rFont val="Georgia"/>
        <family val="1"/>
      </rPr>
      <t>Date of Observance</t>
    </r>
  </si>
  <si>
    <r>
      <rPr>
        <b/>
        <sz val="14"/>
        <color rgb="FFFFFFFF"/>
        <rFont val="Georgia"/>
        <family val="1"/>
      </rPr>
      <t>Holiday</t>
    </r>
  </si>
  <si>
    <t>New Year's Day</t>
  </si>
  <si>
    <t>Dr. Martin Luther King Jr.</t>
  </si>
  <si>
    <t>President's Day</t>
  </si>
  <si>
    <r>
      <rPr>
        <sz val="14"/>
        <rFont val="Times New Roman"/>
        <family val="1"/>
      </rPr>
      <t>César Chávez Day</t>
    </r>
  </si>
  <si>
    <r>
      <rPr>
        <sz val="14"/>
        <rFont val="Times New Roman"/>
        <family val="1"/>
      </rPr>
      <t>Malcolm X Birthday</t>
    </r>
  </si>
  <si>
    <r>
      <rPr>
        <sz val="14"/>
        <rFont val="Times New Roman"/>
        <family val="1"/>
      </rPr>
      <t>Memorial Day</t>
    </r>
  </si>
  <si>
    <r>
      <rPr>
        <sz val="14"/>
        <rFont val="Times New Roman"/>
        <family val="1"/>
      </rPr>
      <t>Independence Day</t>
    </r>
  </si>
  <si>
    <r>
      <rPr>
        <sz val="14"/>
        <rFont val="Times New Roman"/>
        <family val="1"/>
      </rPr>
      <t>Labor Day</t>
    </r>
  </si>
  <si>
    <t>Veterans' Day</t>
  </si>
  <si>
    <t>Thanksgiving Recess</t>
  </si>
  <si>
    <t xml:space="preserve">Christmas Eve </t>
  </si>
  <si>
    <t xml:space="preserve">Holiday Closure </t>
  </si>
  <si>
    <t xml:space="preserve">Christmas Day </t>
  </si>
  <si>
    <t>NYE Observance</t>
  </si>
  <si>
    <t>César Chávez Day</t>
  </si>
  <si>
    <t>Malcolm X Birthday</t>
  </si>
  <si>
    <t>Memorial Day</t>
  </si>
  <si>
    <t>Juneteenth</t>
  </si>
  <si>
    <t>Independence Day</t>
  </si>
  <si>
    <t>Labor Day</t>
  </si>
  <si>
    <t>Christmas Eve Observance</t>
  </si>
  <si>
    <t>Christmas Day Observance</t>
  </si>
  <si>
    <t>No.</t>
  </si>
  <si>
    <t>Hol num</t>
  </si>
  <si>
    <t>HN</t>
  </si>
  <si>
    <t>Instructions</t>
  </si>
  <si>
    <t>Employee's Signature</t>
  </si>
  <si>
    <t>Administrator's Signature</t>
  </si>
  <si>
    <t>Description</t>
  </si>
  <si>
    <t>Codes for Other</t>
  </si>
  <si>
    <t>LOP</t>
  </si>
  <si>
    <t>PNC</t>
  </si>
  <si>
    <t>BEV</t>
  </si>
  <si>
    <t>EIL</t>
  </si>
  <si>
    <t>JUR</t>
  </si>
  <si>
    <t>MIL</t>
  </si>
  <si>
    <t>GOV</t>
  </si>
  <si>
    <t>IND</t>
  </si>
  <si>
    <t>FUR</t>
  </si>
  <si>
    <t>VCO</t>
  </si>
  <si>
    <t>QUA</t>
  </si>
  <si>
    <t>Loss of Pay</t>
  </si>
  <si>
    <t>Personal Necessity</t>
  </si>
  <si>
    <t>Bereavement</t>
  </si>
  <si>
    <t>Extended Illness @ 1/2</t>
  </si>
  <si>
    <t>Jury Duty</t>
  </si>
  <si>
    <t>Military Leave</t>
  </si>
  <si>
    <t>Government Court</t>
  </si>
  <si>
    <t>Industrial Leave</t>
  </si>
  <si>
    <t>Furlough Day</t>
  </si>
  <si>
    <t>Vacation Carryover</t>
  </si>
  <si>
    <t>Quarintine</t>
  </si>
  <si>
    <t>Requires Documentation</t>
  </si>
  <si>
    <t>Yes</t>
  </si>
  <si>
    <t>No</t>
  </si>
  <si>
    <t>Vacation
Hours</t>
  </si>
  <si>
    <t>Sick
Hours</t>
  </si>
  <si>
    <t>Float.
Hours</t>
  </si>
  <si>
    <t>Other
Hours</t>
  </si>
  <si>
    <t>BCC</t>
  </si>
  <si>
    <t>COA</t>
  </si>
  <si>
    <t>District</t>
  </si>
  <si>
    <t>Laney</t>
  </si>
  <si>
    <t>Merritt</t>
  </si>
  <si>
    <t>ID #:</t>
  </si>
  <si>
    <t>Locations</t>
  </si>
  <si>
    <t>New Years' Observance</t>
  </si>
  <si>
    <t>Start Date</t>
  </si>
  <si>
    <t>FMLA Max</t>
  </si>
  <si>
    <t>Sick</t>
  </si>
  <si>
    <t>Vacation</t>
  </si>
  <si>
    <t>Floating Holiday</t>
  </si>
  <si>
    <t>CTE</t>
  </si>
  <si>
    <t>Current</t>
  </si>
  <si>
    <t>7/1 Entl.</t>
  </si>
  <si>
    <t>TRC</t>
  </si>
  <si>
    <t>Projected Bal.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</si>
</sst>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\ yyyy"/>
  </numFmts>
  <fonts count="1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rgb="FF000000"/>
      <name val="Times New Roman"/>
      <family val="1"/>
    </font>
    <font>
      <b/>
      <sz val="14"/>
      <name val="Georgia"/>
      <family val="1"/>
    </font>
    <font>
      <b/>
      <sz val="14"/>
      <color rgb="FFFFFFFF"/>
      <name val="Georgia"/>
      <family val="1"/>
    </font>
    <font>
      <sz val="14"/>
      <name val="Times New Roman"/>
      <family val="1"/>
    </font>
    <font>
      <b/>
      <sz val="14"/>
      <color theme="0"/>
      <name val="Georgia"/>
      <family val="1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/>
      </patternFill>
    </fill>
    <fill>
      <patternFill patternType="solid">
        <fgColor rgb="FF244061"/>
      </patternFill>
    </fill>
    <fill>
      <patternFill patternType="solid">
        <fgColor theme="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2" borderId="0" applyNumberFormat="0" applyBorder="0" applyAlignment="0" applyProtection="0"/>
    <xf numFmtId="0" fontId="6" fillId="0" borderId="0"/>
  </cellStyleXfs>
  <cellXfs count="72">
    <xf numFmtId="0" fontId="0" fillId="0" borderId="0" xfId="0"/>
    <xf numFmtId="14" fontId="0" fillId="0" borderId="0" xfId="0" applyNumberFormat="1"/>
    <xf numFmtId="0" fontId="0" fillId="0" borderId="1" xfId="0" applyBorder="1"/>
    <xf numFmtId="14" fontId="2" fillId="0" borderId="3" xfId="0" applyNumberFormat="1" applyFont="1" applyBorder="1"/>
    <xf numFmtId="1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7" fillId="3" borderId="20" xfId="2" applyFont="1" applyFill="1" applyBorder="1" applyAlignment="1">
      <alignment horizontal="left" vertical="center" wrapText="1"/>
    </xf>
    <xf numFmtId="0" fontId="7" fillId="3" borderId="21" xfId="2" applyFont="1" applyFill="1" applyBorder="1" applyAlignment="1">
      <alignment horizontal="center" vertical="center" wrapText="1"/>
    </xf>
    <xf numFmtId="0" fontId="6" fillId="0" borderId="0" xfId="2" applyAlignment="1">
      <alignment horizontal="left" vertical="top"/>
    </xf>
    <xf numFmtId="14" fontId="9" fillId="0" borderId="22" xfId="2" applyNumberFormat="1" applyFont="1" applyBorder="1" applyAlignment="1">
      <alignment horizontal="left" vertical="top" wrapText="1"/>
    </xf>
    <xf numFmtId="0" fontId="9" fillId="0" borderId="23" xfId="2" applyFont="1" applyBorder="1" applyAlignment="1">
      <alignment horizontal="left" vertical="top" wrapText="1"/>
    </xf>
    <xf numFmtId="14" fontId="9" fillId="0" borderId="24" xfId="2" applyNumberFormat="1" applyFont="1" applyBorder="1" applyAlignment="1">
      <alignment horizontal="left" vertical="top" wrapText="1"/>
    </xf>
    <xf numFmtId="0" fontId="9" fillId="0" borderId="25" xfId="2" applyFont="1" applyBorder="1" applyAlignment="1">
      <alignment horizontal="left" vertical="top" wrapText="1"/>
    </xf>
    <xf numFmtId="0" fontId="10" fillId="3" borderId="26" xfId="2" applyFont="1" applyFill="1" applyBorder="1" applyAlignment="1">
      <alignment horizontal="center" vertical="center" wrapText="1"/>
    </xf>
    <xf numFmtId="1" fontId="9" fillId="0" borderId="27" xfId="2" applyNumberFormat="1" applyFont="1" applyBorder="1" applyAlignment="1">
      <alignment horizontal="left" vertical="top" wrapText="1"/>
    </xf>
    <xf numFmtId="0" fontId="0" fillId="4" borderId="9" xfId="0" applyFill="1" applyBorder="1"/>
    <xf numFmtId="0" fontId="2" fillId="4" borderId="29" xfId="0" applyFont="1" applyFill="1" applyBorder="1" applyAlignment="1">
      <alignment horizontal="center"/>
    </xf>
    <xf numFmtId="0" fontId="2" fillId="4" borderId="28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14" fontId="2" fillId="4" borderId="9" xfId="0" applyNumberFormat="1" applyFont="1" applyFill="1" applyBorder="1"/>
    <xf numFmtId="2" fontId="0" fillId="0" borderId="1" xfId="0" applyNumberFormat="1" applyBorder="1"/>
    <xf numFmtId="2" fontId="0" fillId="0" borderId="9" xfId="0" applyNumberFormat="1" applyBorder="1"/>
    <xf numFmtId="0" fontId="1" fillId="2" borderId="12" xfId="1" applyFont="1" applyBorder="1" applyAlignment="1">
      <alignment horizontal="left"/>
    </xf>
    <xf numFmtId="0" fontId="1" fillId="2" borderId="16" xfId="1" applyFont="1" applyBorder="1" applyAlignment="1">
      <alignment horizontal="left"/>
    </xf>
    <xf numFmtId="0" fontId="1" fillId="2" borderId="14" xfId="1" applyFont="1" applyBorder="1" applyAlignment="1">
      <alignment horizontal="left"/>
    </xf>
    <xf numFmtId="0" fontId="5" fillId="0" borderId="7" xfId="0" applyFont="1" applyBorder="1" applyAlignment="1">
      <alignment horizontal="center" vertical="center" wrapText="1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0" borderId="0" xfId="0" applyFont="1"/>
    <xf numFmtId="0" fontId="11" fillId="0" borderId="0" xfId="0" applyFont="1"/>
    <xf numFmtId="0" fontId="3" fillId="4" borderId="0" xfId="0" applyFont="1" applyFill="1"/>
    <xf numFmtId="0" fontId="2" fillId="0" borderId="32" xfId="0" applyFont="1" applyBorder="1" applyAlignment="1">
      <alignment horizontal="left"/>
    </xf>
    <xf numFmtId="0" fontId="2" fillId="0" borderId="34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2" fillId="0" borderId="31" xfId="0" applyFont="1" applyBorder="1" applyAlignment="1">
      <alignment horizontal="left"/>
    </xf>
    <xf numFmtId="0" fontId="2" fillId="0" borderId="17" xfId="0" applyFont="1" applyBorder="1" applyAlignment="1" applyProtection="1">
      <alignment horizontal="left"/>
      <protection locked="0"/>
    </xf>
    <xf numFmtId="0" fontId="2" fillId="0" borderId="15" xfId="0" applyFont="1" applyBorder="1" applyAlignment="1" applyProtection="1">
      <alignment horizontal="left"/>
      <protection locked="0"/>
    </xf>
    <xf numFmtId="0" fontId="2" fillId="0" borderId="32" xfId="0" applyFont="1" applyBorder="1" applyAlignment="1" applyProtection="1">
      <alignment horizontal="left"/>
      <protection locked="0"/>
    </xf>
    <xf numFmtId="0" fontId="2" fillId="0" borderId="34" xfId="0" applyFont="1" applyBorder="1" applyAlignment="1" applyProtection="1">
      <alignment horizontal="left"/>
      <protection locked="0"/>
    </xf>
    <xf numFmtId="0" fontId="2" fillId="0" borderId="30" xfId="0" applyFont="1" applyBorder="1" applyAlignment="1" applyProtection="1">
      <alignment horizontal="left"/>
      <protection locked="0"/>
    </xf>
    <xf numFmtId="0" fontId="2" fillId="0" borderId="33" xfId="0" applyFont="1" applyBorder="1" applyAlignment="1" applyProtection="1">
      <alignment horizontal="left"/>
      <protection locked="0"/>
    </xf>
    <xf numFmtId="0" fontId="2" fillId="0" borderId="35" xfId="0" applyFont="1" applyBorder="1" applyAlignment="1" applyProtection="1">
      <alignment horizontal="left"/>
      <protection locked="0"/>
    </xf>
    <xf numFmtId="0" fontId="2" fillId="0" borderId="31" xfId="0" applyFont="1" applyBorder="1" applyAlignment="1" applyProtection="1">
      <alignment horizontal="left"/>
      <protection locked="0"/>
    </xf>
    <xf numFmtId="2" fontId="0" fillId="0" borderId="3" xfId="0" applyNumberFormat="1" applyBorder="1" applyProtection="1">
      <protection locked="0" hidden="1"/>
    </xf>
    <xf numFmtId="0" fontId="0" fillId="0" borderId="3" xfId="0" applyBorder="1" applyProtection="1">
      <protection locked="0" hidden="1"/>
    </xf>
    <xf numFmtId="0" fontId="2" fillId="0" borderId="19" xfId="0" applyFont="1" applyBorder="1" applyAlignment="1" applyProtection="1">
      <alignment horizontal="center"/>
      <protection locked="0" hidden="1"/>
    </xf>
    <xf numFmtId="2" fontId="0" fillId="0" borderId="1" xfId="0" applyNumberFormat="1" applyBorder="1" applyProtection="1">
      <protection locked="0" hidden="1"/>
    </xf>
    <xf numFmtId="0" fontId="0" fillId="0" borderId="1" xfId="0" applyBorder="1" applyProtection="1">
      <protection locked="0" hidden="1"/>
    </xf>
    <xf numFmtId="0" fontId="2" fillId="0" borderId="17" xfId="0" applyFont="1" applyBorder="1" applyAlignment="1" applyProtection="1">
      <alignment horizontal="center"/>
      <protection locked="0" hidden="1"/>
    </xf>
    <xf numFmtId="0" fontId="2" fillId="0" borderId="19" xfId="0" applyFont="1" applyBorder="1" applyAlignment="1" applyProtection="1">
      <alignment horizontal="center"/>
      <protection hidden="1"/>
    </xf>
    <xf numFmtId="0" fontId="0" fillId="0" borderId="0" xfId="0" applyProtection="1">
      <protection locked="0"/>
    </xf>
    <xf numFmtId="0" fontId="0" fillId="0" borderId="11" xfId="0" applyBorder="1" applyProtection="1">
      <protection locked="0"/>
    </xf>
    <xf numFmtId="2" fontId="0" fillId="0" borderId="3" xfId="0" applyNumberFormat="1" applyBorder="1" applyProtection="1">
      <protection hidden="1"/>
    </xf>
    <xf numFmtId="0" fontId="0" fillId="0" borderId="3" xfId="0" applyBorder="1" applyProtection="1">
      <protection hidden="1"/>
    </xf>
    <xf numFmtId="2" fontId="0" fillId="0" borderId="1" xfId="0" applyNumberFormat="1" applyBorder="1" applyProtection="1">
      <protection hidden="1"/>
    </xf>
    <xf numFmtId="0" fontId="0" fillId="0" borderId="1" xfId="0" applyBorder="1" applyProtection="1">
      <protection hidden="1"/>
    </xf>
    <xf numFmtId="0" fontId="2" fillId="0" borderId="17" xfId="0" applyFont="1" applyBorder="1" applyAlignment="1" applyProtection="1">
      <alignment horizontal="center"/>
      <protection hidden="1"/>
    </xf>
  </cellXfs>
  <cellStyles count="3">
    <cellStyle name="Accent3" xfId="1" builtinId="37"/>
    <cellStyle name="Normal" xfId="0" builtinId="0"/>
    <cellStyle name="Normal 2" xfId="2" xr:uid="{241F87F4-C1FD-40F0-B876-5AE58C476B6D}"/>
  </cellStyles>
  <dxfs count="324"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1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double">
          <color indexed="64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medium">
          <color indexed="64"/>
        </right>
        <top/>
        <bottom/>
      </border>
    </dxf>
    <dxf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2" formatCode="0.0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m/d/yyyy"/>
      <fill>
        <patternFill patternType="solid">
          <fgColor indexed="64"/>
          <bgColor theme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</font>
      <numFmt numFmtId="19" formatCode="m/d/yyyy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1"/>
        </patternFill>
      </fill>
      <alignment horizontal="center" vertical="bottom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font>
        <b/>
      </font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border>
        <bottom style="double">
          <color rgb="FF000000"/>
        </bottom>
      </border>
    </dxf>
    <dxf>
      <font>
        <b/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/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2" formatCode="0.0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" formatCode="0"/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family val="1"/>
        <scheme val="none"/>
      </font>
      <numFmt numFmtId="19" formatCode="m/d/yyyy"/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 outline="0">
        <left/>
        <right/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2</xdr:row>
      <xdr:rowOff>0</xdr:rowOff>
    </xdr:from>
    <xdr:to>
      <xdr:col>10</xdr:col>
      <xdr:colOff>38100</xdr:colOff>
      <xdr:row>19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5386956-D586-E616-1E80-79D5A8A7E357}"/>
            </a:ext>
          </a:extLst>
        </xdr:cNvPr>
        <xdr:cNvSpPr txBox="1"/>
      </xdr:nvSpPr>
      <xdr:spPr>
        <a:xfrm>
          <a:off x="95250" y="419100"/>
          <a:ext cx="5429250" cy="3333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Enter your last name, first name, and employee ID #, and select the location/campus from the drop-down menu in the Jan tab. The information will get pre-filled for the remaining months. </a:t>
          </a:r>
        </a:p>
        <a:p>
          <a:endParaRPr lang="en-US" sz="1100" baseline="0"/>
        </a:p>
        <a:p>
          <a:r>
            <a:rPr lang="en-US" sz="1100" baseline="0"/>
            <a:t>Your employee ID number can be found on your paycheck stub and hcm.peralta.edu. </a:t>
          </a:r>
        </a:p>
        <a:p>
          <a:endParaRPr lang="en-US" sz="1100" baseline="0"/>
        </a:p>
        <a:p>
          <a:r>
            <a:rPr lang="en-US" sz="1100" baseline="0"/>
            <a:t>Enter 15 minutes as .25 hours.</a:t>
          </a:r>
        </a:p>
        <a:p>
          <a:r>
            <a:rPr lang="en-US" sz="1100" baseline="0"/>
            <a:t>Enter 30 minutes as .50 hours.</a:t>
          </a:r>
        </a:p>
        <a:p>
          <a:r>
            <a:rPr lang="en-US" sz="1100" baseline="0"/>
            <a:t>Enter 45 minutes as .75 hours.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List hours under the vacation, sick, or floating holiday columns. Also, you may list other type of hours in the "Other Column" and select a code from the drop down menu under "Code".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i="1" baseline="0"/>
            <a:t>*Please note that employees may enter their hours and information. However, this workbook is otherwise locked to protect the formulas, so sheets cannot be altered or deleted. </a:t>
          </a:r>
        </a:p>
        <a:p>
          <a:endParaRPr lang="en-US" sz="1100" baseline="0"/>
        </a:p>
        <a:p>
          <a:endParaRPr lang="en-US" sz="1100" baseline="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alero\Desktop\2023%20Admin_Classified%20LAR.xlsx" TargetMode="External"/><Relationship Id="rId1" Type="http://schemas.openxmlformats.org/officeDocument/2006/relationships/externalLinkPath" Target="/Users/alero/Desktop/2023%20Admin_Classified%20LA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Jan"/>
      <sheetName val="Feb"/>
      <sheetName val="Mar"/>
      <sheetName val="April"/>
      <sheetName val="May"/>
      <sheetName val="July"/>
      <sheetName val="June"/>
      <sheetName val="Aug"/>
      <sheetName val="Sept"/>
      <sheetName val="Oct"/>
      <sheetName val="Nov"/>
      <sheetName val="Dec"/>
      <sheetName val="Holi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696CFD1-B1A3-4554-86D4-AEC9B0E78CF1}" name="Table5" displayName="Table5" ref="L3:N15" totalsRowShown="0" headerRowDxfId="323">
  <autoFilter ref="L3:N15" xr:uid="{4696CFD1-B1A3-4554-86D4-AEC9B0E78CF1}">
    <filterColumn colId="0" hiddenButton="1"/>
    <filterColumn colId="1" hiddenButton="1"/>
    <filterColumn colId="2" hiddenButton="1"/>
  </autoFilter>
  <sortState xmlns:xlrd2="http://schemas.microsoft.com/office/spreadsheetml/2017/richdata2" ref="L4:N15">
    <sortCondition ref="N3:N15"/>
  </sortState>
  <tableColumns count="3">
    <tableColumn id="1" xr3:uid="{D0EB6B9C-3055-4676-9224-B12753F97686}" name="Codes for Other"/>
    <tableColumn id="2" xr3:uid="{E809F58C-E790-4711-A78E-DCAB36717BDB}" name="Description"/>
    <tableColumn id="3" xr3:uid="{453DB9AC-3CE6-4A47-AC32-E4038C7557C7}" name="Requires Documentation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412A704F-75DB-4F53-8061-DAFC06D64753}" name="Table7" displayName="Table7" ref="B18:B23" totalsRowShown="0">
  <autoFilter ref="B18:B23" xr:uid="{412A704F-75DB-4F53-8061-DAFC06D64753}"/>
  <tableColumns count="1">
    <tableColumn id="1" xr3:uid="{58FD50D8-D6EB-4A10-B791-F734BA3ADD0B}" name="Locations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6974BED-9109-46BB-98EC-C7CBE5E33BAD}" name="Holidays" displayName="Holidays" ref="A1:C46" totalsRowShown="0" headerRowBorderDxfId="322" tableBorderDxfId="321" totalsRowBorderDxfId="320">
  <autoFilter ref="A1:C46" xr:uid="{DFA5B33D-3256-44C4-9A6D-6623F9ADCF17}"/>
  <tableColumns count="3">
    <tableColumn id="1" xr3:uid="{66D09350-E1B3-466E-A0BE-BFFFD2AAE31D}" name="Date of Observance" dataDxfId="319"/>
    <tableColumn id="3" xr3:uid="{791C4A19-9A0C-4486-B109-3102EAF13121}" name="HN" dataDxfId="318" dataCellStyle="Normal 2"/>
    <tableColumn id="2" xr3:uid="{4E4575E4-D488-4C00-97F7-717077DED888}" name="Holiday" dataDxfId="317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B3EF84-5E23-4DE8-B172-B381061A81BF}" name="Table1" displayName="Table1" ref="A6:D10" totalsRowShown="0" tableBorderDxfId="316">
  <autoFilter ref="A6:D10" xr:uid="{D4B3EF84-5E23-4DE8-B172-B381061A81BF}"/>
  <tableColumns count="4">
    <tableColumn id="1" xr3:uid="{BE466A52-3E8A-4ECC-8CAA-9A17CC0A6257}" name="TRC" dataDxfId="315"/>
    <tableColumn id="2" xr3:uid="{10DA84D7-3839-437B-8530-3626D55069DC}" name="Current" dataDxfId="314"/>
    <tableColumn id="3" xr3:uid="{2F3116BD-20F1-47FB-BD14-24977DAE747B}" name="7/1 Entl." dataDxfId="313"/>
    <tableColumn id="4" xr3:uid="{0C47242D-B070-4492-812E-21DF2662D631}" name="Projected Bal." dataDxfId="312">
      <calculatedColumnFormula>B7+C7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13D53B2-E702-4C87-A846-29BF911D3325}" name="Jan" displayName="Jan" ref="A8:J40" totalsRowCount="1" headerRowDxfId="293" headerRowBorderDxfId="292" tableBorderDxfId="291" totalsRowBorderDxfId="290" headerRowCellStyle="Normal">
  <autoFilter ref="A8:J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7BA012D-892D-4D64-9171-E672B25F3B7B}" name="Day" dataDxfId="289" totalsRowDxfId="288">
      <calculatedColumnFormula>IF(Jan[[#This Row],[Date]]="","",UPPER(TEXT(Jan[[#This Row],[Date]],"DDD")))</calculatedColumnFormula>
    </tableColumn>
    <tableColumn id="9" xr3:uid="{982B764D-B55C-4E61-B217-776BD02C45CD}" name="No." dataDxfId="287" totalsRowDxfId="286">
      <calculatedColumnFormula>IF(Jan[[#This Row],[Date]]="","",WEEKDAY(Jan[[#This Row],[Date]],11))</calculatedColumnFormula>
    </tableColumn>
    <tableColumn id="10" xr3:uid="{514285A9-7524-4590-A3C8-B372A38D53C7}" name="Hol num" dataDxfId="285" totalsRowDxfId="284">
      <calculatedColumnFormula array="1">_xlfn.IFNA(_xlfn.XLOOKUP(Jan[[#This Row],[Date]],Obs_day,HN),"")</calculatedColumnFormula>
    </tableColumn>
    <tableColumn id="2" xr3:uid="{8E3A4E81-E498-4B88-BE8D-CB75AF4ACD8C}" name="Date" dataDxfId="283" totalsRowDxfId="282">
      <calculatedColumnFormula>IF(L9&gt;0,L9,"")</calculatedColumnFormula>
    </tableColumn>
    <tableColumn id="3" xr3:uid="{8ADB5145-5523-4457-9B84-C1322F7D62C3}" name="Vacation_x000a_Hours" totalsRowFunction="sum" dataDxfId="91" totalsRowDxfId="281"/>
    <tableColumn id="4" xr3:uid="{DC69CE3B-979F-4F9D-A293-AB7A9E9EA7B5}" name="Sick_x000a_Hours" totalsRowFunction="sum" dataDxfId="90" totalsRowDxfId="280"/>
    <tableColumn id="5" xr3:uid="{D04340E8-BDF3-460E-9703-CB4E946CB371}" name="Float._x000a_Hours" totalsRowFunction="sum" dataDxfId="89" totalsRowDxfId="279"/>
    <tableColumn id="6" xr3:uid="{3780CB0B-87D4-44BB-A8EF-D9CD03C97248}" name="Other_x000a_Hours" totalsRowFunction="sum" dataDxfId="88" totalsRowDxfId="278"/>
    <tableColumn id="7" xr3:uid="{C1E3DC34-02CD-4DCA-B52F-72DB3CB0081C}" name="Code" dataDxfId="87" totalsRowDxfId="277"/>
    <tableColumn id="8" xr3:uid="{20D76252-3317-4AD3-AB7F-6F09900257C4}" name="Comments" dataDxfId="86" totalsRowDxfId="276">
      <calculatedColumnFormula>_xlfn.XLOOKUP(Jan[[#This Row],[Date]],Obs_day,Hol,"")</calculatedColumnFormula>
    </tableColumn>
  </tableColumns>
  <tableStyleInfo showFirstColumn="0" showLastColumn="0" showRowStripes="0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BF4586A-9CD9-4515-A868-7E01A146A88E}" name="Feb" displayName="Feb" ref="A8:J37" totalsRowCount="1" headerRowDxfId="311" headerRowBorderDxfId="310" tableBorderDxfId="309" totalsRowBorderDxfId="308" headerRowCellStyle="Normal">
  <autoFilter ref="A8:J36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4CF36070-BD83-4E95-835A-8CDDD27A805D}" name="Day" dataDxfId="307" totalsRowDxfId="306">
      <calculatedColumnFormula>IF(Feb[[#This Row],[Date]]="","",UPPER(TEXT(Feb[[#This Row],[Date]],"DDD")))</calculatedColumnFormula>
    </tableColumn>
    <tableColumn id="9" xr3:uid="{2877E5EE-AE4F-4351-91DE-B08359C528D0}" name="No." dataDxfId="305" totalsRowDxfId="304">
      <calculatedColumnFormula>IF(Feb[[#This Row],[Date]]="","",WEEKDAY(Feb[[#This Row],[Date]],11))</calculatedColumnFormula>
    </tableColumn>
    <tableColumn id="10" xr3:uid="{61FB3A1D-43A8-4151-8435-4066777359AD}" name="Hol num" dataDxfId="303" totalsRowDxfId="302">
      <calculatedColumnFormula array="1">_xlfn.IFNA(_xlfn.XLOOKUP(Feb[[#This Row],[Date]],Obs_day,HN),"")</calculatedColumnFormula>
    </tableColumn>
    <tableColumn id="2" xr3:uid="{A7D1990F-27CB-4979-BE44-D35CF8294B4B}" name="Date" dataDxfId="301" totalsRowDxfId="300">
      <calculatedColumnFormula>IF(L9&gt;0,L9,"")</calculatedColumnFormula>
    </tableColumn>
    <tableColumn id="3" xr3:uid="{22253650-A52B-42B8-9830-B2108C7394C5}" name="Vacation_x000a_Hours" totalsRowFunction="sum" dataDxfId="85" totalsRowDxfId="299"/>
    <tableColumn id="4" xr3:uid="{46281B52-499F-45C0-95DD-F9F8DF2D0ED2}" name="Sick_x000a_Hours" totalsRowFunction="sum" dataDxfId="84" totalsRowDxfId="298"/>
    <tableColumn id="5" xr3:uid="{D9BED124-CFF2-42CC-B1B4-D0A9B2F923EA}" name="Float._x000a_Hours" totalsRowFunction="sum" dataDxfId="83" totalsRowDxfId="297"/>
    <tableColumn id="6" xr3:uid="{5A8789FC-95A1-44BE-92B1-A0F5AC814828}" name="Other_x000a_Hours" totalsRowFunction="sum" dataDxfId="82" totalsRowDxfId="296"/>
    <tableColumn id="7" xr3:uid="{D4F16DB8-874F-4B88-AAF6-AFBF9C3AF814}" name="Code" dataDxfId="81" totalsRowDxfId="295"/>
    <tableColumn id="8" xr3:uid="{B408EB47-7CB4-4AC8-9F39-121A57C7A196}" name="Comments" dataDxfId="80" totalsRowDxfId="294">
      <calculatedColumnFormula>_xlfn.XLOOKUP(Feb[[#This Row],[Date]],Obs_day,Hol,"")</calculatedColumnFormula>
    </tableColumn>
  </tableColumns>
  <tableStyleInfo showFirstColumn="0" showLastColumn="0" showRowStripes="0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39826B3-7ADD-4586-BD77-D77E7604378F}" name="Mar" displayName="Mar" ref="A8:J40" totalsRowCount="1" headerRowDxfId="275" headerRowBorderDxfId="274" tableBorderDxfId="273" totalsRowBorderDxfId="272" headerRowCellStyle="Normal">
  <autoFilter ref="A8:J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C5C69B3-46C0-4DA1-96EF-D8C578577F3A}" name="Day" dataDxfId="271" totalsRowDxfId="270">
      <calculatedColumnFormula>IF(Mar[[#This Row],[Date]]="","",UPPER(TEXT(Mar[[#This Row],[Date]],"DDD")))</calculatedColumnFormula>
    </tableColumn>
    <tableColumn id="9" xr3:uid="{568107A0-0DE7-4A3F-A877-63D4EE661E4C}" name="No." dataDxfId="269" totalsRowDxfId="268">
      <calculatedColumnFormula>IF(Mar[[#This Row],[Date]]="","",WEEKDAY(Mar[[#This Row],[Date]],11))</calculatedColumnFormula>
    </tableColumn>
    <tableColumn id="10" xr3:uid="{CAA10E45-87D8-43BF-9A46-ADBA52AB3569}" name="Hol num" dataDxfId="267" totalsRowDxfId="266">
      <calculatedColumnFormula array="1">_xlfn.IFNA(_xlfn.XLOOKUP(Mar[[#This Row],[Date]],Obs_day,HN),"")</calculatedColumnFormula>
    </tableColumn>
    <tableColumn id="2" xr3:uid="{F9CC38BB-B2FB-46D6-8EBC-1697AE188309}" name="Date" dataDxfId="265" totalsRowDxfId="264">
      <calculatedColumnFormula>IF(L9&gt;0,L9,"")</calculatedColumnFormula>
    </tableColumn>
    <tableColumn id="3" xr3:uid="{FCD46FB1-513B-4122-BF91-815D80C4C272}" name="Vacation_x000a_Hours" totalsRowFunction="sum" dataDxfId="79" totalsRowDxfId="263"/>
    <tableColumn id="4" xr3:uid="{56A55557-65DE-4A26-AA03-B7948414BA6F}" name="Sick_x000a_Hours" totalsRowFunction="sum" dataDxfId="78" totalsRowDxfId="262"/>
    <tableColumn id="5" xr3:uid="{14F75672-D600-4989-8970-6C3930CD763B}" name="Float._x000a_Hours" totalsRowFunction="sum" dataDxfId="77" totalsRowDxfId="261"/>
    <tableColumn id="6" xr3:uid="{5020A8C2-8122-4C67-81D1-1F1A0D61E4B8}" name="Other_x000a_Hours" totalsRowFunction="sum" dataDxfId="76" totalsRowDxfId="260"/>
    <tableColumn id="7" xr3:uid="{5113374D-D9E8-4953-9CDE-ACDD7880C244}" name="Code" dataDxfId="75" totalsRowDxfId="259"/>
    <tableColumn id="8" xr3:uid="{185FD3FD-9B41-4979-A43A-6D37D98EB694}" name="Comments" dataDxfId="74" totalsRowDxfId="258">
      <calculatedColumnFormula>_xlfn.XLOOKUP(Mar[[#This Row],[Date]],Obs_day,Hol,"")</calculatedColumnFormula>
    </tableColumn>
  </tableColumns>
  <tableStyleInfo showFirstColumn="0" showLastColumn="0" showRowStripes="0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FF1E662A-3B05-4B91-A121-9D102B126D47}" name="Apr" displayName="Apr" ref="A8:J39" totalsRowCount="1" headerRowDxfId="257" headerRowBorderDxfId="256" tableBorderDxfId="255" totalsRowBorderDxfId="254" headerRowCellStyle="Normal">
  <autoFilter ref="A8:J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09BA451-0A04-4388-86D3-5DE247AEE88C}" name="Day" dataDxfId="253" totalsRowDxfId="101">
      <calculatedColumnFormula>IF(Apr[[#This Row],[Date]]="","",UPPER(TEXT(Apr[[#This Row],[Date]],"DDD")))</calculatedColumnFormula>
    </tableColumn>
    <tableColumn id="9" xr3:uid="{130EFED1-F2FF-4510-AC28-BC22A28C18CD}" name="No." dataDxfId="252" totalsRowDxfId="100">
      <calculatedColumnFormula>IF(Apr[[#This Row],[Date]]="","",WEEKDAY(Apr[[#This Row],[Date]],11))</calculatedColumnFormula>
    </tableColumn>
    <tableColumn id="10" xr3:uid="{1B262CF2-4172-457B-A538-C80F53FC2952}" name="Hol num" dataDxfId="251" totalsRowDxfId="99">
      <calculatedColumnFormula array="1">_xlfn.IFNA(_xlfn.XLOOKUP(Apr[[#This Row],[Date]],Obs_day,HN),"")</calculatedColumnFormula>
    </tableColumn>
    <tableColumn id="2" xr3:uid="{9AAA2EE0-A598-456A-87B1-05D1B03F5F31}" name="Date" dataDxfId="250" totalsRowDxfId="98">
      <calculatedColumnFormula>IF(L9&gt;0,L9,"")</calculatedColumnFormula>
    </tableColumn>
    <tableColumn id="3" xr3:uid="{506B7A0B-5E38-42ED-A34F-F37B5918E00C}" name="Vacation_x000a_Hours" totalsRowFunction="sum" dataDxfId="73" totalsRowDxfId="97"/>
    <tableColumn id="4" xr3:uid="{68F724EA-A6FC-4C27-81C3-3C0C8B974363}" name="Sick_x000a_Hours" totalsRowFunction="sum" dataDxfId="72" totalsRowDxfId="96"/>
    <tableColumn id="5" xr3:uid="{2EDEEF29-BB1E-4079-8783-AF3F624B890D}" name="Float._x000a_Hours" totalsRowFunction="sum" dataDxfId="71" totalsRowDxfId="95"/>
    <tableColumn id="6" xr3:uid="{4B1D0C19-8AC8-4655-B053-320DA370AACD}" name="Other_x000a_Hours" totalsRowFunction="sum" dataDxfId="70" totalsRowDxfId="94"/>
    <tableColumn id="7" xr3:uid="{E43C860F-D520-465D-A7B7-545367F0666D}" name="Code" dataDxfId="69" totalsRowDxfId="93"/>
    <tableColumn id="8" xr3:uid="{DA5105E7-6914-4C88-B949-9EB3EF67BD93}" name="Comments" dataDxfId="68" totalsRowDxfId="92">
      <calculatedColumnFormula>_xlfn.XLOOKUP(Apr[[#This Row],[Date]],Obs_day,Hol,"")</calculatedColumnFormula>
    </tableColumn>
  </tableColumns>
  <tableStyleInfo showFirstColumn="0" showLastColumn="0" showRowStripes="0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A89B35B-3573-4F55-9B63-8BC171DC8DF9}" name="may" displayName="may" ref="A8:J40" totalsRowCount="1" headerRowDxfId="249" headerRowBorderDxfId="248" tableBorderDxfId="247" totalsRowBorderDxfId="246" headerRowCellStyle="Normal">
  <autoFilter ref="A8:J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6689E5A4-1CA2-437A-A6D3-B30AD56D1A99}" name="Day" dataDxfId="245" totalsRowDxfId="67">
      <calculatedColumnFormula>IF(may[[#This Row],[Date]]="","",UPPER(TEXT(may[[#This Row],[Date]],"DDD")))</calculatedColumnFormula>
    </tableColumn>
    <tableColumn id="9" xr3:uid="{2339C90F-DA86-453F-80FB-48FDDBFD4B84}" name="No." dataDxfId="244" totalsRowDxfId="66">
      <calculatedColumnFormula>IF(may[[#This Row],[Date]]="","",WEEKDAY(may[[#This Row],[Date]],11))</calculatedColumnFormula>
    </tableColumn>
    <tableColumn id="10" xr3:uid="{54F7FD22-4554-4467-A9A0-A0A9B720D064}" name="Hol num" dataDxfId="243" totalsRowDxfId="65">
      <calculatedColumnFormula array="1">_xlfn.IFNA(_xlfn.XLOOKUP(may[[#This Row],[Date]],Obs_day,HN),"")</calculatedColumnFormula>
    </tableColumn>
    <tableColumn id="2" xr3:uid="{DFA98513-1FCE-4C3C-9401-7099167ADDF2}" name="Date" dataDxfId="242" totalsRowDxfId="64">
      <calculatedColumnFormula>IF(L9&gt;0,L9,"")</calculatedColumnFormula>
    </tableColumn>
    <tableColumn id="3" xr3:uid="{5C94402B-49AE-4EC3-B183-C58D60F2830D}" name="Vacation_x000a_Hours" totalsRowFunction="sum" dataDxfId="57" totalsRowDxfId="63"/>
    <tableColumn id="4" xr3:uid="{8F60CB9C-8554-47B6-BF70-76113605AC97}" name="Sick_x000a_Hours" totalsRowFunction="sum" dataDxfId="56" totalsRowDxfId="62"/>
    <tableColumn id="5" xr3:uid="{535FD1FE-F5D6-4E3C-9D36-271945ACC488}" name="Float._x000a_Hours" totalsRowFunction="sum" dataDxfId="55" totalsRowDxfId="61"/>
    <tableColumn id="6" xr3:uid="{2DB7D2C1-8116-473D-9EC1-1D962CA791C4}" name="Other_x000a_Hours" totalsRowFunction="sum" dataDxfId="54" totalsRowDxfId="60"/>
    <tableColumn id="7" xr3:uid="{57857064-7772-4CC3-93F9-35AC51FA5BE9}" name="Code" dataDxfId="53" totalsRowDxfId="59"/>
    <tableColumn id="8" xr3:uid="{8A4B20B1-2E30-496F-8D09-83CEB68CCD0F}" name="Comments" dataDxfId="52" totalsRowDxfId="58">
      <calculatedColumnFormula>_xlfn.XLOOKUP(may[[#This Row],[Date]],Obs_day,Hol,"")</calculatedColumnFormula>
    </tableColumn>
  </tableColumns>
  <tableStyleInfo showFirstColumn="0" showLastColumn="0" showRowStripes="0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2C7A5765-5F0C-4514-8DEA-10A73EBA5EE7}" name="Jun" displayName="Jun" ref="A8:J39" totalsRowCount="1" headerRowDxfId="241" headerRowBorderDxfId="240" tableBorderDxfId="239" totalsRowBorderDxfId="238" headerRowCellStyle="Normal">
  <autoFilter ref="A8:J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68ED10-FBE9-40B0-9855-4E180513C4EA}" name="Day" dataDxfId="237" totalsRowDxfId="51">
      <calculatedColumnFormula>IF(Jun[[#This Row],[Date]]="","",UPPER(TEXT(Jun[[#This Row],[Date]],"DDD")))</calculatedColumnFormula>
    </tableColumn>
    <tableColumn id="9" xr3:uid="{F21DA82F-C050-4F7B-AC5E-A4B8BBAF1516}" name="No." dataDxfId="236" totalsRowDxfId="50">
      <calculatedColumnFormula>IF(Jun[[#This Row],[Date]]="","",WEEKDAY(Jun[[#This Row],[Date]],11))</calculatedColumnFormula>
    </tableColumn>
    <tableColumn id="10" xr3:uid="{751E551C-BD58-4339-A2D0-1F12273F3399}" name="Hol num" dataDxfId="235" totalsRowDxfId="49">
      <calculatedColumnFormula array="1">_xlfn.IFNA(_xlfn.XLOOKUP(Jun[[#This Row],[Date]],Obs_day,HN),"")</calculatedColumnFormula>
    </tableColumn>
    <tableColumn id="2" xr3:uid="{39C41C08-C4C5-44EA-8EC5-0CB33C083407}" name="Date" dataDxfId="234" totalsRowDxfId="48">
      <calculatedColumnFormula>IF(L9&gt;0,L9,"")</calculatedColumnFormula>
    </tableColumn>
    <tableColumn id="3" xr3:uid="{502E6B90-DE75-4BFB-A806-208AEDCA8791}" name="Vacation_x000a_Hours" totalsRowFunction="sum" dataDxfId="41" totalsRowDxfId="47"/>
    <tableColumn id="4" xr3:uid="{943AF3E5-F06A-4B4A-AE0B-34A9391EE23B}" name="Sick_x000a_Hours" totalsRowFunction="sum" dataDxfId="40" totalsRowDxfId="46"/>
    <tableColumn id="5" xr3:uid="{063211ED-D462-4233-AFEE-CFA5C58CD014}" name="Float._x000a_Hours" totalsRowFunction="sum" dataDxfId="39" totalsRowDxfId="45"/>
    <tableColumn id="6" xr3:uid="{E011A691-E673-48B3-A216-876588FC6A6E}" name="Other_x000a_Hours" totalsRowFunction="sum" dataDxfId="38" totalsRowDxfId="44"/>
    <tableColumn id="7" xr3:uid="{10964834-CD32-41DB-BB81-BB5DE0B82893}" name="Code" dataDxfId="37" totalsRowDxfId="43"/>
    <tableColumn id="8" xr3:uid="{79D2B361-9CDA-4C60-BD15-7D4BFA3E079C}" name="Comments" dataDxfId="36" totalsRowDxfId="42">
      <calculatedColumnFormula>_xlfn.XLOOKUP(Jun[[#This Row],[Date]],Obs_day,Hol,"")</calculatedColumnFormula>
    </tableColumn>
  </tableColumns>
  <tableStyleInfo showFirstColumn="0" showLastColumn="0" showRowStripes="0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D1F88D-10EF-4BED-8A90-969B33F230A6}" name="Jul" displayName="Jul" ref="A8:J40" totalsRowCount="1" headerRowDxfId="233" headerRowBorderDxfId="232" tableBorderDxfId="231" totalsRowBorderDxfId="230" headerRowCellStyle="Normal">
  <autoFilter ref="A8:J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1F0A9F0-BE62-4AC4-8794-608515BC42D1}" name="Day" dataDxfId="229" totalsRowDxfId="228">
      <calculatedColumnFormula>IF(Jul[[#This Row],[Date]]="","",UPPER(TEXT(Jul[[#This Row],[Date]],"DDD")))</calculatedColumnFormula>
    </tableColumn>
    <tableColumn id="9" xr3:uid="{9E310CD0-0040-4375-8240-BC530B21565B}" name="No." dataDxfId="227" totalsRowDxfId="226">
      <calculatedColumnFormula>IF(Jul[[#This Row],[Date]]="","",WEEKDAY(Jul[[#This Row],[Date]],11))</calculatedColumnFormula>
    </tableColumn>
    <tableColumn id="10" xr3:uid="{7B6D18D7-0FD8-46C0-ADDA-5A7EA5E44AF1}" name="Hol num" dataDxfId="225" totalsRowDxfId="224">
      <calculatedColumnFormula array="1">_xlfn.IFNA(_xlfn.XLOOKUP(Jul[[#This Row],[Date]],Obs_day,HN),"")</calculatedColumnFormula>
    </tableColumn>
    <tableColumn id="2" xr3:uid="{F86E7123-DF75-43B0-B5A2-F35B1B5F3FFE}" name="Date" dataDxfId="223" totalsRowDxfId="222">
      <calculatedColumnFormula>IF(L9&gt;0,L9,"")</calculatedColumnFormula>
    </tableColumn>
    <tableColumn id="3" xr3:uid="{0DD31716-A05C-4EEC-A52B-D313E790A7FF}" name="Vacation_x000a_Hours" totalsRowFunction="sum" dataDxfId="35" totalsRowDxfId="221"/>
    <tableColumn id="4" xr3:uid="{ACB4AA38-0C6A-4BD7-B393-52FF84E4BB8B}" name="Sick_x000a_Hours" totalsRowFunction="sum" dataDxfId="34" totalsRowDxfId="220"/>
    <tableColumn id="5" xr3:uid="{1482089E-B490-4383-B329-92FF956613F9}" name="Float._x000a_Hours" totalsRowFunction="sum" dataDxfId="33" totalsRowDxfId="219"/>
    <tableColumn id="6" xr3:uid="{AAF0489E-926A-49FC-89BB-B7E8A26A8858}" name="Other_x000a_Hours" totalsRowFunction="sum" dataDxfId="32" totalsRowDxfId="218"/>
    <tableColumn id="7" xr3:uid="{67E15396-15DE-41D3-A0FD-0AD8AC29AA51}" name="Code" dataDxfId="31" totalsRowDxfId="217"/>
    <tableColumn id="8" xr3:uid="{72208A7D-96B6-481F-A99D-A79EBD6CBAFE}" name="Comments" dataDxfId="30" totalsRowDxfId="216">
      <calculatedColumnFormula>_xlfn.XLOOKUP(Jul[[#This Row],[Date]],Obs_day,Hol,"")</calculatedColumnFormula>
    </tableColumn>
  </tableColumns>
  <tableStyleInfo showFirstColumn="0" showLastColumn="0" showRowStripes="0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D8782B20-6935-4316-AE03-6E556DAD4A1F}" name="Aug" displayName="Aug" ref="A8:J40" totalsRowCount="1" headerRowDxfId="215" headerRowBorderDxfId="214" tableBorderDxfId="213" totalsRowBorderDxfId="212" headerRowCellStyle="Normal">
  <autoFilter ref="A8:J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5071903-5F20-473D-95BF-F1DE6A84644A}" name="Day" dataDxfId="211" totalsRowDxfId="210">
      <calculatedColumnFormula>IF(Aug[[#This Row],[Date]]="","",UPPER(TEXT(Aug[[#This Row],[Date]],"DDD")))</calculatedColumnFormula>
    </tableColumn>
    <tableColumn id="9" xr3:uid="{C5BCB166-E3E6-4E75-A41A-5289D36E252F}" name="No." dataDxfId="209" totalsRowDxfId="208">
      <calculatedColumnFormula>IF(Aug[[#This Row],[Date]]="","",WEEKDAY(Aug[[#This Row],[Date]],11))</calculatedColumnFormula>
    </tableColumn>
    <tableColumn id="10" xr3:uid="{6665F119-AC28-426E-BE90-1E1EE9474FC0}" name="Hol num" dataDxfId="207" totalsRowDxfId="206">
      <calculatedColumnFormula array="1">_xlfn.IFNA(_xlfn.XLOOKUP(Aug[[#This Row],[Date]],Obs_day,HN),"")</calculatedColumnFormula>
    </tableColumn>
    <tableColumn id="2" xr3:uid="{CE6A0E7A-8F17-488D-BF58-9C47094F9D92}" name="Date" dataDxfId="205" totalsRowDxfId="204">
      <calculatedColumnFormula>IF(L9&gt;0,L9,"")</calculatedColumnFormula>
    </tableColumn>
    <tableColumn id="3" xr3:uid="{95A4748B-D9FC-40F6-81B7-41775C158C68}" name="Vacation_x000a_Hours" totalsRowFunction="sum" dataDxfId="29" totalsRowDxfId="203"/>
    <tableColumn id="4" xr3:uid="{B6BC7026-1FF9-47F9-8800-AB1CCD79EC33}" name="Sick_x000a_Hours" totalsRowFunction="sum" dataDxfId="28" totalsRowDxfId="202"/>
    <tableColumn id="5" xr3:uid="{0876467C-E26E-45C5-8EC4-B04BA4B24A3E}" name="Float._x000a_Hours" totalsRowFunction="sum" dataDxfId="27" totalsRowDxfId="201"/>
    <tableColumn id="6" xr3:uid="{F1E607E1-9EC4-4209-8577-D3A1B6D41414}" name="Other_x000a_Hours" totalsRowFunction="sum" dataDxfId="26" totalsRowDxfId="200"/>
    <tableColumn id="7" xr3:uid="{8BD06E75-40A0-495F-9A18-02D43FCC1DFA}" name="Code" dataDxfId="25" totalsRowDxfId="199"/>
    <tableColumn id="8" xr3:uid="{70171F02-2C95-4A10-A8E5-30C64B83AC63}" name="Comments" dataDxfId="24" totalsRowDxfId="198">
      <calculatedColumnFormula>_xlfn.XLOOKUP(Aug[[#This Row],[Date]],Obs_day,Hol,"")</calculatedColumnFormula>
    </tableColumn>
  </tableColumns>
  <tableStyleInfo showFirstColumn="0" showLastColumn="0" showRowStripes="0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34641EE5-CD3F-4109-B561-F01AA3D58A30}" name="Sep" displayName="Sep" ref="A8:J39" totalsRowCount="1" headerRowDxfId="197" headerRowBorderDxfId="196" tableBorderDxfId="195" totalsRowBorderDxfId="194" headerRowCellStyle="Normal">
  <autoFilter ref="A8:J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D7D468FA-3A43-4706-A27F-054109ADBFBA}" name="Day" dataDxfId="193" totalsRowDxfId="192">
      <calculatedColumnFormula>IF(Sep[[#This Row],[Date]]="","",UPPER(TEXT(Sep[[#This Row],[Date]],"DDD")))</calculatedColumnFormula>
    </tableColumn>
    <tableColumn id="9" xr3:uid="{CB855D14-D516-448C-B46C-B22163E81955}" name="No." dataDxfId="191" totalsRowDxfId="190">
      <calculatedColumnFormula>IF(Sep[[#This Row],[Date]]="","",WEEKDAY(Sep[[#This Row],[Date]],11))</calculatedColumnFormula>
    </tableColumn>
    <tableColumn id="10" xr3:uid="{E63B7D64-72F2-4986-9FB3-394DAD2A17B3}" name="Hol num" dataDxfId="189" totalsRowDxfId="188">
      <calculatedColumnFormula array="1">_xlfn.IFNA(_xlfn.XLOOKUP(Sep[[#This Row],[Date]],Obs_day,HN),"")</calculatedColumnFormula>
    </tableColumn>
    <tableColumn id="2" xr3:uid="{9D759A97-2F34-4163-85BC-2B821ACFC43A}" name="Date" dataDxfId="187" totalsRowDxfId="186">
      <calculatedColumnFormula>IF(L9&gt;0,L9,"")</calculatedColumnFormula>
    </tableColumn>
    <tableColumn id="3" xr3:uid="{09F1942E-A62D-4BC3-B135-BF77B4F05B8C}" name="Vacation_x000a_Hours" totalsRowFunction="sum" dataDxfId="23" totalsRowDxfId="185"/>
    <tableColumn id="4" xr3:uid="{FBE3D8A8-C2C3-4DBB-8D0C-54AF0C537FB8}" name="Sick_x000a_Hours" totalsRowFunction="sum" dataDxfId="22" totalsRowDxfId="184"/>
    <tableColumn id="5" xr3:uid="{2E065467-38F5-42E1-9F6A-25661F066118}" name="Float._x000a_Hours" totalsRowFunction="sum" dataDxfId="21" totalsRowDxfId="183"/>
    <tableColumn id="6" xr3:uid="{406547A1-56BE-4761-B816-35B4894BBC0D}" name="Other_x000a_Hours" totalsRowFunction="sum" dataDxfId="20" totalsRowDxfId="182"/>
    <tableColumn id="7" xr3:uid="{29B3539C-E6DB-49B6-A184-1E8C7088C016}" name="Code" dataDxfId="19" totalsRowDxfId="181"/>
    <tableColumn id="8" xr3:uid="{3DCEFE37-41D9-49E9-9EF2-96B34157C8A3}" name="Comments" dataDxfId="18" totalsRowDxfId="180">
      <calculatedColumnFormula>_xlfn.XLOOKUP(Sep[[#This Row],[Date]],Obs_day,Hol,"")</calculatedColumnFormula>
    </tableColumn>
  </tableColumns>
  <tableStyleInfo showFirstColumn="0" showLastColumn="0" showRowStripes="0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EE194286-16FC-4226-93DC-D88D96DDC24D}" name="Oct" displayName="Oct" ref="A8:J40" totalsRowCount="1" headerRowDxfId="179" headerRowBorderDxfId="178" tableBorderDxfId="177" totalsRowBorderDxfId="176" headerRowCellStyle="Normal">
  <autoFilter ref="A8:J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D1AC9B0-7D66-494E-9899-B025E61B62A3}" name="Day" dataDxfId="175" totalsRowDxfId="174">
      <calculatedColumnFormula>IF(Oct[[#This Row],[Date]]="","",UPPER(TEXT(Oct[[#This Row],[Date]],"DDD")))</calculatedColumnFormula>
    </tableColumn>
    <tableColumn id="9" xr3:uid="{AAB8B913-D2A3-4095-8ADB-B1484FB88AAC}" name="No." dataDxfId="173" totalsRowDxfId="172">
      <calculatedColumnFormula>IF(Oct[[#This Row],[Date]]="","",WEEKDAY(Oct[[#This Row],[Date]],11))</calculatedColumnFormula>
    </tableColumn>
    <tableColumn id="10" xr3:uid="{27E63315-0849-4750-A550-A032DA0BA156}" name="Hol num" dataDxfId="171" totalsRowDxfId="170">
      <calculatedColumnFormula array="1">_xlfn.IFNA(_xlfn.XLOOKUP(Oct[[#This Row],[Date]],Obs_day,HN),"")</calculatedColumnFormula>
    </tableColumn>
    <tableColumn id="2" xr3:uid="{9A1E7C7A-DC1A-4A26-AC55-2C6E6CB08885}" name="Date" dataDxfId="169" totalsRowDxfId="168">
      <calculatedColumnFormula>IF(L9&gt;0,L9,"")</calculatedColumnFormula>
    </tableColumn>
    <tableColumn id="3" xr3:uid="{1EFABDEC-7A72-409D-887E-88B76F670EE6}" name="Vacation_x000a_Hours" totalsRowFunction="sum" dataDxfId="17" totalsRowDxfId="167"/>
    <tableColumn id="4" xr3:uid="{3EBEAF6E-5601-435A-867B-D19F2DCE2E16}" name="Sick_x000a_Hours" totalsRowFunction="sum" dataDxfId="16" totalsRowDxfId="166"/>
    <tableColumn id="5" xr3:uid="{6940569A-57AE-4153-86AC-DDE07BEE721A}" name="Float._x000a_Hours" totalsRowFunction="sum" dataDxfId="15" totalsRowDxfId="165"/>
    <tableColumn id="6" xr3:uid="{680AC2AE-2943-41C5-900C-9AC42AE6950A}" name="Other_x000a_Hours" totalsRowFunction="sum" dataDxfId="14" totalsRowDxfId="164"/>
    <tableColumn id="7" xr3:uid="{6376BE4C-25E6-43C6-9A8C-E59844BBDBEC}" name="Code" dataDxfId="13" totalsRowDxfId="163"/>
    <tableColumn id="8" xr3:uid="{2D42E7C9-7CE5-45CB-AF97-A480C0E7D6F0}" name="Comments" dataDxfId="12" totalsRowDxfId="162">
      <calculatedColumnFormula>_xlfn.XLOOKUP(Oct[[#This Row],[Date]],Obs_day,Hol,"")</calculatedColumnFormula>
    </tableColumn>
  </tableColumns>
  <tableStyleInfo showFirstColumn="0" showLastColumn="0" showRowStripes="0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8C1A1F3-52F3-42AB-B48C-4F42A0744FD6}" name="Nov" displayName="Nov" ref="A8:J39" totalsRowCount="1" headerRowDxfId="161" headerRowBorderDxfId="160" tableBorderDxfId="159" totalsRowBorderDxfId="158" headerRowCellStyle="Normal">
  <autoFilter ref="A8:J38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8E454F08-E096-4D99-84ED-06E24191B134}" name="Day" dataDxfId="157" totalsRowDxfId="156">
      <calculatedColumnFormula>IF(Nov[[#This Row],[Date]]="","",UPPER(TEXT(Nov[[#This Row],[Date]],"DDD")))</calculatedColumnFormula>
    </tableColumn>
    <tableColumn id="9" xr3:uid="{88C52780-0FE1-46D2-A505-60673F6D8EDA}" name="No." dataDxfId="155" totalsRowDxfId="154">
      <calculatedColumnFormula>IF(Nov[[#This Row],[Date]]="","",WEEKDAY(Nov[[#This Row],[Date]],11))</calculatedColumnFormula>
    </tableColumn>
    <tableColumn id="10" xr3:uid="{FF8AF40E-3504-413B-A4B0-FCE07CC718F0}" name="Hol num" dataDxfId="153" totalsRowDxfId="152">
      <calculatedColumnFormula array="1">_xlfn.IFNA(_xlfn.XLOOKUP(Nov[[#This Row],[Date]],Obs_day,HN),"")</calculatedColumnFormula>
    </tableColumn>
    <tableColumn id="2" xr3:uid="{5D852350-1352-44BE-AD29-93458F12DA16}" name="Date" dataDxfId="151" totalsRowDxfId="150">
      <calculatedColumnFormula>IF(L9&gt;0,L9,"")</calculatedColumnFormula>
    </tableColumn>
    <tableColumn id="3" xr3:uid="{4E1BE206-A5BE-4A68-AFF8-7554B79B5838}" name="Vacation_x000a_Hours" totalsRowFunction="sum" dataDxfId="11" totalsRowDxfId="149"/>
    <tableColumn id="4" xr3:uid="{325E94A0-60A0-4873-85E6-C4AD53249191}" name="Sick_x000a_Hours" totalsRowFunction="sum" dataDxfId="10" totalsRowDxfId="148"/>
    <tableColumn id="5" xr3:uid="{5CBDA843-66C9-4540-AB5B-29584A6147E6}" name="Float._x000a_Hours" totalsRowFunction="sum" dataDxfId="9" totalsRowDxfId="147"/>
    <tableColumn id="6" xr3:uid="{54D6D097-1C0D-4BC6-8796-B2B5FB7196D0}" name="Other_x000a_Hours" totalsRowFunction="sum" dataDxfId="8" totalsRowDxfId="146"/>
    <tableColumn id="7" xr3:uid="{DED64326-2F73-40FA-B671-E964D8D63AF9}" name="Code" dataDxfId="7" totalsRowDxfId="145"/>
    <tableColumn id="8" xr3:uid="{6632540F-272A-4E2F-81AD-670F3805E9BB}" name="Comments" dataDxfId="6" totalsRowDxfId="144">
      <calculatedColumnFormula>_xlfn.XLOOKUP(Nov[[#This Row],[Date]],Obs_day,Hol,"")</calculatedColumnFormula>
    </tableColumn>
  </tableColumns>
  <tableStyleInfo showFirstColumn="0" showLastColumn="0" showRowStripes="0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D43E3FF-7FE1-408C-B4C6-6C7DEB025CEA}" name="Dec" displayName="Dec" ref="A8:J40" totalsRowCount="1" headerRowDxfId="143" headerRowBorderDxfId="142" tableBorderDxfId="141" totalsRowBorderDxfId="140" headerRowCellStyle="Normal">
  <autoFilter ref="A8:J39" xr:uid="{E13D53B2-E702-4C87-A846-29BF911D332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3E67E1D8-7D05-4DAB-A7BA-5C5AB193ED01}" name="Day" dataDxfId="139" totalsRowDxfId="138">
      <calculatedColumnFormula>IF(Dec[[#This Row],[Date]]="","",UPPER(TEXT(Dec[[#This Row],[Date]],"DDD")))</calculatedColumnFormula>
    </tableColumn>
    <tableColumn id="9" xr3:uid="{8E45038B-E761-4BDE-97ED-20F98048EEDC}" name="No." dataDxfId="137" totalsRowDxfId="136">
      <calculatedColumnFormula>IF(Dec[[#This Row],[Date]]="","",WEEKDAY(Dec[[#This Row],[Date]],11))</calculatedColumnFormula>
    </tableColumn>
    <tableColumn id="10" xr3:uid="{C1B1C04D-64B4-4943-979E-EF17BA995152}" name="Hol num" dataDxfId="135" totalsRowDxfId="134">
      <calculatedColumnFormula array="1">_xlfn.IFNA(_xlfn.XLOOKUP(Dec[[#This Row],[Date]],Obs_day,HN),"")</calculatedColumnFormula>
    </tableColumn>
    <tableColumn id="2" xr3:uid="{0923B053-5C16-40C5-92B7-28DC9F6DE5BC}" name="Date" dataDxfId="133" totalsRowDxfId="132">
      <calculatedColumnFormula>IF(L9&gt;0,L9,"")</calculatedColumnFormula>
    </tableColumn>
    <tableColumn id="3" xr3:uid="{3C7C5BEC-0646-4C30-A9BD-996D076BEB3B}" name="Vacation_x000a_Hours" totalsRowFunction="sum" dataDxfId="5" totalsRowDxfId="131"/>
    <tableColumn id="4" xr3:uid="{A0E20D6E-BE01-43D7-BA33-B3947F0D461A}" name="Sick_x000a_Hours" totalsRowFunction="sum" dataDxfId="4" totalsRowDxfId="130"/>
    <tableColumn id="5" xr3:uid="{4F679E20-6EFF-40D3-8900-E114E4BB7B5F}" name="Float._x000a_Hours" totalsRowFunction="sum" dataDxfId="3" totalsRowDxfId="129"/>
    <tableColumn id="6" xr3:uid="{CDAC50B8-5DB4-44A9-9DCB-FAD19B1E0292}" name="Other_x000a_Hours" totalsRowFunction="sum" dataDxfId="2" totalsRowDxfId="128"/>
    <tableColumn id="7" xr3:uid="{64D13CF0-CFB1-48DF-8EAF-95A92D9BDD3B}" name="Code" dataDxfId="1" totalsRowDxfId="127"/>
    <tableColumn id="8" xr3:uid="{561B6E10-CDFA-4432-A18E-B2D7DF20830B}" name="Comments" dataDxfId="0" totalsRowDxfId="126">
      <calculatedColumnFormula>_xlfn.XLOOKUP(Dec[[#This Row],[Date]],Obs_day,Hol,"")</calculatedColumnFormula>
    </tableColumn>
  </tableColumns>
  <tableStyleInfo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7C744-1E3C-4CF9-AD81-D95A0313FA97}">
  <sheetPr>
    <tabColor rgb="FFFFFF00"/>
  </sheetPr>
  <dimension ref="A1:N23"/>
  <sheetViews>
    <sheetView workbookViewId="0">
      <selection activeCell="K31" sqref="K31"/>
    </sheetView>
  </sheetViews>
  <sheetFormatPr defaultRowHeight="15" x14ac:dyDescent="0.25"/>
  <cols>
    <col min="2" max="2" width="10.5703125" hidden="1" customWidth="1"/>
    <col min="12" max="12" width="17.140625" customWidth="1"/>
    <col min="13" max="13" width="27.85546875" customWidth="1"/>
    <col min="14" max="14" width="25.140625" customWidth="1"/>
  </cols>
  <sheetData>
    <row r="1" spans="1:14" ht="18" x14ac:dyDescent="0.25">
      <c r="A1" s="8" t="s">
        <v>37</v>
      </c>
    </row>
    <row r="3" spans="1:14" x14ac:dyDescent="0.25">
      <c r="L3" s="10" t="s">
        <v>41</v>
      </c>
      <c r="M3" s="10" t="s">
        <v>40</v>
      </c>
      <c r="N3" s="10" t="s">
        <v>64</v>
      </c>
    </row>
    <row r="4" spans="1:14" x14ac:dyDescent="0.25">
      <c r="L4" s="10"/>
      <c r="M4" s="10"/>
      <c r="N4" s="10"/>
    </row>
    <row r="5" spans="1:14" x14ac:dyDescent="0.25">
      <c r="L5" t="s">
        <v>42</v>
      </c>
      <c r="M5" t="s">
        <v>53</v>
      </c>
      <c r="N5" t="s">
        <v>66</v>
      </c>
    </row>
    <row r="6" spans="1:14" x14ac:dyDescent="0.25">
      <c r="L6" t="s">
        <v>43</v>
      </c>
      <c r="M6" t="s">
        <v>54</v>
      </c>
      <c r="N6" t="s">
        <v>66</v>
      </c>
    </row>
    <row r="7" spans="1:14" x14ac:dyDescent="0.25">
      <c r="L7" t="s">
        <v>51</v>
      </c>
      <c r="M7" t="s">
        <v>62</v>
      </c>
      <c r="N7" t="s">
        <v>66</v>
      </c>
    </row>
    <row r="8" spans="1:14" x14ac:dyDescent="0.25">
      <c r="L8" t="s">
        <v>44</v>
      </c>
      <c r="M8" t="s">
        <v>55</v>
      </c>
      <c r="N8" t="s">
        <v>65</v>
      </c>
    </row>
    <row r="9" spans="1:14" x14ac:dyDescent="0.25">
      <c r="L9" t="s">
        <v>45</v>
      </c>
      <c r="M9" t="s">
        <v>56</v>
      </c>
      <c r="N9" t="s">
        <v>65</v>
      </c>
    </row>
    <row r="10" spans="1:14" x14ac:dyDescent="0.25">
      <c r="L10" t="s">
        <v>46</v>
      </c>
      <c r="M10" t="s">
        <v>57</v>
      </c>
      <c r="N10" t="s">
        <v>65</v>
      </c>
    </row>
    <row r="11" spans="1:14" x14ac:dyDescent="0.25">
      <c r="L11" t="s">
        <v>47</v>
      </c>
      <c r="M11" t="s">
        <v>58</v>
      </c>
      <c r="N11" t="s">
        <v>65</v>
      </c>
    </row>
    <row r="12" spans="1:14" x14ac:dyDescent="0.25">
      <c r="L12" t="s">
        <v>48</v>
      </c>
      <c r="M12" t="s">
        <v>59</v>
      </c>
      <c r="N12" t="s">
        <v>65</v>
      </c>
    </row>
    <row r="13" spans="1:14" x14ac:dyDescent="0.25">
      <c r="L13" t="s">
        <v>49</v>
      </c>
      <c r="M13" t="s">
        <v>60</v>
      </c>
      <c r="N13" t="s">
        <v>65</v>
      </c>
    </row>
    <row r="14" spans="1:14" x14ac:dyDescent="0.25">
      <c r="L14" t="s">
        <v>50</v>
      </c>
      <c r="M14" t="s">
        <v>61</v>
      </c>
      <c r="N14" t="s">
        <v>65</v>
      </c>
    </row>
    <row r="15" spans="1:14" x14ac:dyDescent="0.25">
      <c r="L15" t="s">
        <v>52</v>
      </c>
      <c r="M15" t="s">
        <v>63</v>
      </c>
      <c r="N15" t="s">
        <v>65</v>
      </c>
    </row>
    <row r="18" spans="2:2" x14ac:dyDescent="0.25">
      <c r="B18" t="s">
        <v>77</v>
      </c>
    </row>
    <row r="19" spans="2:2" x14ac:dyDescent="0.25">
      <c r="B19" t="s">
        <v>71</v>
      </c>
    </row>
    <row r="20" spans="2:2" x14ac:dyDescent="0.25">
      <c r="B20" t="s">
        <v>72</v>
      </c>
    </row>
    <row r="21" spans="2:2" x14ac:dyDescent="0.25">
      <c r="B21" t="s">
        <v>73</v>
      </c>
    </row>
    <row r="22" spans="2:2" x14ac:dyDescent="0.25">
      <c r="B22" t="s">
        <v>74</v>
      </c>
    </row>
    <row r="23" spans="2:2" x14ac:dyDescent="0.25">
      <c r="B23" t="s">
        <v>75</v>
      </c>
    </row>
  </sheetData>
  <sheetProtection algorithmName="SHA-512" hashValue="xZT4rwUsqHliQu+h+numwxFXP5Psb02m0ijvTxMGWYvtXxNBogztWl4iJqyc05H4431rVAtYf9JSC9uu8WCDcw==" saltValue="G08y+v8UsqIEtMAwOgKaaQ==" spinCount="100000" sheet="1" objects="1" scenarios="1"/>
  <pageMargins left="0.7" right="0.7" top="0.75" bottom="0.75" header="0.3" footer="0.3"/>
  <drawing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28C24-E56C-4E13-B5AE-DE1874913F05}">
  <dimension ref="A1:C46"/>
  <sheetViews>
    <sheetView workbookViewId="0">
      <selection activeCell="C46" sqref="C46"/>
    </sheetView>
  </sheetViews>
  <sheetFormatPr defaultColWidth="9.140625" defaultRowHeight="12.75" x14ac:dyDescent="0.25"/>
  <cols>
    <col min="1" max="1" width="30.28515625" style="21" customWidth="1"/>
    <col min="2" max="2" width="10.85546875" style="21" bestFit="1" customWidth="1"/>
    <col min="3" max="3" width="57" style="21" customWidth="1"/>
    <col min="4" max="16384" width="9.140625" style="21"/>
  </cols>
  <sheetData>
    <row r="1" spans="1:3" ht="18" x14ac:dyDescent="0.25">
      <c r="A1" s="19" t="s">
        <v>10</v>
      </c>
      <c r="B1" s="26" t="s">
        <v>36</v>
      </c>
      <c r="C1" s="20" t="s">
        <v>11</v>
      </c>
    </row>
    <row r="2" spans="1:3" ht="18.75" x14ac:dyDescent="0.25">
      <c r="A2" s="22">
        <v>44562</v>
      </c>
      <c r="B2" s="27">
        <v>1</v>
      </c>
      <c r="C2" s="23" t="s">
        <v>12</v>
      </c>
    </row>
    <row r="3" spans="1:3" ht="18.75" x14ac:dyDescent="0.25">
      <c r="A3" s="22">
        <v>44578</v>
      </c>
      <c r="B3" s="27">
        <v>1</v>
      </c>
      <c r="C3" s="23" t="s">
        <v>13</v>
      </c>
    </row>
    <row r="4" spans="1:3" ht="18.75" x14ac:dyDescent="0.25">
      <c r="A4" s="22">
        <v>44610</v>
      </c>
      <c r="B4" s="27">
        <v>1</v>
      </c>
      <c r="C4" s="23" t="s">
        <v>14</v>
      </c>
    </row>
    <row r="5" spans="1:3" ht="18.75" x14ac:dyDescent="0.25">
      <c r="A5" s="22">
        <v>44613</v>
      </c>
      <c r="B5" s="27">
        <v>1</v>
      </c>
      <c r="C5" s="23" t="s">
        <v>14</v>
      </c>
    </row>
    <row r="6" spans="1:3" ht="18.75" x14ac:dyDescent="0.25">
      <c r="A6" s="22">
        <v>44651</v>
      </c>
      <c r="B6" s="27">
        <v>1</v>
      </c>
      <c r="C6" s="23" t="s">
        <v>15</v>
      </c>
    </row>
    <row r="7" spans="1:3" ht="18.75" x14ac:dyDescent="0.25">
      <c r="A7" s="22">
        <v>44700</v>
      </c>
      <c r="B7" s="27">
        <v>1</v>
      </c>
      <c r="C7" s="23" t="s">
        <v>16</v>
      </c>
    </row>
    <row r="8" spans="1:3" ht="18.75" x14ac:dyDescent="0.25">
      <c r="A8" s="24">
        <v>44711</v>
      </c>
      <c r="B8" s="27">
        <v>1</v>
      </c>
      <c r="C8" s="25" t="s">
        <v>17</v>
      </c>
    </row>
    <row r="9" spans="1:3" ht="18.75" x14ac:dyDescent="0.25">
      <c r="A9" s="24">
        <v>44746</v>
      </c>
      <c r="B9" s="27">
        <v>1</v>
      </c>
      <c r="C9" s="23" t="s">
        <v>18</v>
      </c>
    </row>
    <row r="10" spans="1:3" ht="18.75" x14ac:dyDescent="0.25">
      <c r="A10" s="24">
        <v>44809</v>
      </c>
      <c r="B10" s="27">
        <v>1</v>
      </c>
      <c r="C10" s="23" t="s">
        <v>19</v>
      </c>
    </row>
    <row r="11" spans="1:3" ht="18.75" x14ac:dyDescent="0.25">
      <c r="A11" s="24">
        <v>44876</v>
      </c>
      <c r="B11" s="27">
        <v>1</v>
      </c>
      <c r="C11" s="23" t="s">
        <v>20</v>
      </c>
    </row>
    <row r="12" spans="1:3" ht="18.75" x14ac:dyDescent="0.25">
      <c r="A12" s="24">
        <v>44889</v>
      </c>
      <c r="B12" s="27">
        <v>1</v>
      </c>
      <c r="C12" s="23" t="s">
        <v>21</v>
      </c>
    </row>
    <row r="13" spans="1:3" ht="18.75" x14ac:dyDescent="0.25">
      <c r="A13" s="24">
        <v>44890</v>
      </c>
      <c r="B13" s="27">
        <v>1</v>
      </c>
      <c r="C13" s="23" t="s">
        <v>21</v>
      </c>
    </row>
    <row r="14" spans="1:3" ht="18.75" x14ac:dyDescent="0.25">
      <c r="A14" s="24">
        <v>44918</v>
      </c>
      <c r="B14" s="27">
        <v>1</v>
      </c>
      <c r="C14" s="23" t="s">
        <v>22</v>
      </c>
    </row>
    <row r="15" spans="1:3" ht="18.75" x14ac:dyDescent="0.25">
      <c r="A15" s="24">
        <v>44919</v>
      </c>
      <c r="B15" s="27">
        <v>1</v>
      </c>
      <c r="C15" s="23" t="s">
        <v>23</v>
      </c>
    </row>
    <row r="16" spans="1:3" ht="18.75" x14ac:dyDescent="0.25">
      <c r="A16" s="24">
        <v>44920</v>
      </c>
      <c r="B16" s="27">
        <v>1</v>
      </c>
      <c r="C16" s="23" t="s">
        <v>23</v>
      </c>
    </row>
    <row r="17" spans="1:3" ht="18.75" x14ac:dyDescent="0.25">
      <c r="A17" s="24">
        <v>44921</v>
      </c>
      <c r="B17" s="27">
        <v>1</v>
      </c>
      <c r="C17" s="23" t="s">
        <v>24</v>
      </c>
    </row>
    <row r="18" spans="1:3" ht="18.75" x14ac:dyDescent="0.25">
      <c r="A18" s="24">
        <v>44922</v>
      </c>
      <c r="B18" s="27">
        <v>1</v>
      </c>
      <c r="C18" s="23" t="s">
        <v>23</v>
      </c>
    </row>
    <row r="19" spans="1:3" ht="18.75" x14ac:dyDescent="0.25">
      <c r="A19" s="24">
        <v>44923</v>
      </c>
      <c r="B19" s="27">
        <v>1</v>
      </c>
      <c r="C19" s="23" t="s">
        <v>23</v>
      </c>
    </row>
    <row r="20" spans="1:3" ht="18.75" x14ac:dyDescent="0.25">
      <c r="A20" s="24">
        <v>44924</v>
      </c>
      <c r="B20" s="27">
        <v>1</v>
      </c>
      <c r="C20" s="23" t="s">
        <v>23</v>
      </c>
    </row>
    <row r="21" spans="1:3" ht="18.75" x14ac:dyDescent="0.25">
      <c r="A21" s="24">
        <v>44925</v>
      </c>
      <c r="B21" s="27">
        <v>1</v>
      </c>
      <c r="C21" s="23" t="s">
        <v>23</v>
      </c>
    </row>
    <row r="22" spans="1:3" ht="18.75" x14ac:dyDescent="0.25">
      <c r="A22" s="24">
        <v>44926</v>
      </c>
      <c r="B22" s="27">
        <v>1</v>
      </c>
      <c r="C22" s="23" t="s">
        <v>23</v>
      </c>
    </row>
    <row r="23" spans="1:3" ht="18.75" x14ac:dyDescent="0.25">
      <c r="A23" s="24">
        <v>44928</v>
      </c>
      <c r="B23" s="27">
        <v>1</v>
      </c>
      <c r="C23" s="25" t="s">
        <v>25</v>
      </c>
    </row>
    <row r="24" spans="1:3" ht="18.75" x14ac:dyDescent="0.25">
      <c r="A24" s="24">
        <v>44942</v>
      </c>
      <c r="B24" s="27">
        <v>1</v>
      </c>
      <c r="C24" s="25" t="s">
        <v>13</v>
      </c>
    </row>
    <row r="25" spans="1:3" ht="18.75" x14ac:dyDescent="0.25">
      <c r="A25" s="24">
        <v>44974</v>
      </c>
      <c r="B25" s="27">
        <v>1</v>
      </c>
      <c r="C25" s="25" t="s">
        <v>14</v>
      </c>
    </row>
    <row r="26" spans="1:3" ht="18.75" x14ac:dyDescent="0.25">
      <c r="A26" s="24">
        <v>44977</v>
      </c>
      <c r="B26" s="27">
        <v>1</v>
      </c>
      <c r="C26" s="25" t="s">
        <v>14</v>
      </c>
    </row>
    <row r="27" spans="1:3" ht="18.75" x14ac:dyDescent="0.25">
      <c r="A27" s="24">
        <v>45016</v>
      </c>
      <c r="B27" s="27">
        <v>1</v>
      </c>
      <c r="C27" s="25" t="s">
        <v>26</v>
      </c>
    </row>
    <row r="28" spans="1:3" ht="18.75" x14ac:dyDescent="0.25">
      <c r="A28" s="24">
        <v>45065</v>
      </c>
      <c r="B28" s="27">
        <v>1</v>
      </c>
      <c r="C28" s="25" t="s">
        <v>27</v>
      </c>
    </row>
    <row r="29" spans="1:3" ht="18.75" x14ac:dyDescent="0.25">
      <c r="A29" s="24">
        <v>45075</v>
      </c>
      <c r="B29" s="27">
        <v>1</v>
      </c>
      <c r="C29" s="25" t="s">
        <v>28</v>
      </c>
    </row>
    <row r="30" spans="1:3" ht="18.75" x14ac:dyDescent="0.25">
      <c r="A30" s="24">
        <v>45096</v>
      </c>
      <c r="B30" s="27">
        <v>1</v>
      </c>
      <c r="C30" s="25" t="s">
        <v>29</v>
      </c>
    </row>
    <row r="31" spans="1:3" ht="18.75" x14ac:dyDescent="0.25">
      <c r="A31" s="24">
        <v>45111</v>
      </c>
      <c r="B31" s="27">
        <v>1</v>
      </c>
      <c r="C31" s="25" t="s">
        <v>30</v>
      </c>
    </row>
    <row r="32" spans="1:3" ht="18.75" x14ac:dyDescent="0.25">
      <c r="A32" s="24">
        <v>45173</v>
      </c>
      <c r="B32" s="27">
        <v>1</v>
      </c>
      <c r="C32" s="25" t="s">
        <v>31</v>
      </c>
    </row>
    <row r="33" spans="1:3" ht="18.75" x14ac:dyDescent="0.25">
      <c r="A33" s="24">
        <v>45240</v>
      </c>
      <c r="B33" s="27">
        <v>1</v>
      </c>
      <c r="C33" s="25" t="s">
        <v>20</v>
      </c>
    </row>
    <row r="34" spans="1:3" ht="18.75" x14ac:dyDescent="0.25">
      <c r="A34" s="24">
        <v>45253</v>
      </c>
      <c r="B34" s="27">
        <v>1</v>
      </c>
      <c r="C34" s="25" t="s">
        <v>21</v>
      </c>
    </row>
    <row r="35" spans="1:3" ht="18.75" x14ac:dyDescent="0.25">
      <c r="A35" s="24">
        <v>45254</v>
      </c>
      <c r="B35" s="27">
        <v>1</v>
      </c>
      <c r="C35" s="25" t="s">
        <v>21</v>
      </c>
    </row>
    <row r="36" spans="1:3" ht="18.75" x14ac:dyDescent="0.25">
      <c r="A36" s="24">
        <v>45283</v>
      </c>
      <c r="B36" s="27">
        <v>1</v>
      </c>
      <c r="C36" s="25" t="s">
        <v>23</v>
      </c>
    </row>
    <row r="37" spans="1:3" ht="18.75" x14ac:dyDescent="0.25">
      <c r="A37" s="24">
        <v>45284</v>
      </c>
      <c r="B37" s="27">
        <v>1</v>
      </c>
      <c r="C37" s="25" t="s">
        <v>23</v>
      </c>
    </row>
    <row r="38" spans="1:3" ht="18.75" x14ac:dyDescent="0.25">
      <c r="A38" s="24">
        <v>45285</v>
      </c>
      <c r="B38" s="27">
        <v>1</v>
      </c>
      <c r="C38" s="25" t="s">
        <v>32</v>
      </c>
    </row>
    <row r="39" spans="1:3" ht="18.75" x14ac:dyDescent="0.25">
      <c r="A39" s="24">
        <v>45286</v>
      </c>
      <c r="B39" s="27">
        <v>1</v>
      </c>
      <c r="C39" s="25" t="s">
        <v>33</v>
      </c>
    </row>
    <row r="40" spans="1:3" ht="18.75" x14ac:dyDescent="0.25">
      <c r="A40" s="24">
        <v>45287</v>
      </c>
      <c r="B40" s="27">
        <v>1</v>
      </c>
      <c r="C40" s="25" t="s">
        <v>23</v>
      </c>
    </row>
    <row r="41" spans="1:3" ht="18.75" x14ac:dyDescent="0.25">
      <c r="A41" s="24">
        <v>45288</v>
      </c>
      <c r="B41" s="27">
        <v>1</v>
      </c>
      <c r="C41" s="25" t="s">
        <v>23</v>
      </c>
    </row>
    <row r="42" spans="1:3" ht="18.75" x14ac:dyDescent="0.25">
      <c r="A42" s="24">
        <v>45289</v>
      </c>
      <c r="B42" s="27">
        <v>1</v>
      </c>
      <c r="C42" s="25" t="s">
        <v>23</v>
      </c>
    </row>
    <row r="43" spans="1:3" ht="18.75" x14ac:dyDescent="0.25">
      <c r="A43" s="24">
        <v>45290</v>
      </c>
      <c r="B43" s="27">
        <v>1</v>
      </c>
      <c r="C43" s="25" t="s">
        <v>23</v>
      </c>
    </row>
    <row r="44" spans="1:3" ht="18.75" x14ac:dyDescent="0.25">
      <c r="A44" s="24">
        <v>45291</v>
      </c>
      <c r="B44" s="27">
        <v>1</v>
      </c>
      <c r="C44" s="25" t="s">
        <v>23</v>
      </c>
    </row>
    <row r="45" spans="1:3" ht="18.75" x14ac:dyDescent="0.25">
      <c r="A45" s="24">
        <v>45292</v>
      </c>
      <c r="B45" s="27">
        <v>1</v>
      </c>
      <c r="C45" s="25" t="s">
        <v>25</v>
      </c>
    </row>
    <row r="46" spans="1:3" ht="18.75" x14ac:dyDescent="0.25">
      <c r="A46" s="24">
        <v>45293</v>
      </c>
      <c r="B46" s="27">
        <v>1</v>
      </c>
      <c r="C46" s="25" t="s">
        <v>78</v>
      </c>
    </row>
  </sheetData>
  <sheetProtection selectLockedCells="1"/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0ABED-8144-4B1D-9FCA-7B44CB110B34}">
  <dimension ref="A3:D10"/>
  <sheetViews>
    <sheetView zoomScale="130" zoomScaleNormal="130" workbookViewId="0">
      <selection activeCell="D12" sqref="D12"/>
    </sheetView>
  </sheetViews>
  <sheetFormatPr defaultRowHeight="15" x14ac:dyDescent="0.25"/>
  <cols>
    <col min="1" max="1" width="15.42578125" bestFit="1" customWidth="1"/>
    <col min="2" max="2" width="10" bestFit="1" customWidth="1"/>
    <col min="3" max="3" width="10.5703125" bestFit="1" customWidth="1"/>
    <col min="4" max="4" width="15.7109375" bestFit="1" customWidth="1"/>
  </cols>
  <sheetData>
    <row r="3" spans="1:4" x14ac:dyDescent="0.25">
      <c r="A3" t="s">
        <v>79</v>
      </c>
      <c r="B3" s="1">
        <v>45200</v>
      </c>
    </row>
    <row r="4" spans="1:4" x14ac:dyDescent="0.25">
      <c r="A4" t="s">
        <v>80</v>
      </c>
    </row>
    <row r="6" spans="1:4" x14ac:dyDescent="0.25">
      <c r="A6" t="s">
        <v>87</v>
      </c>
      <c r="B6" t="s">
        <v>85</v>
      </c>
      <c r="C6" t="s">
        <v>86</v>
      </c>
      <c r="D6" t="s">
        <v>88</v>
      </c>
    </row>
    <row r="7" spans="1:4" x14ac:dyDescent="0.25">
      <c r="A7" s="2" t="s">
        <v>81</v>
      </c>
      <c r="B7" s="33">
        <v>227.28</v>
      </c>
      <c r="C7" s="33">
        <v>96</v>
      </c>
      <c r="D7" s="33">
        <f>B7+C7</f>
        <v>323.27999999999997</v>
      </c>
    </row>
    <row r="8" spans="1:4" x14ac:dyDescent="0.25">
      <c r="A8" s="2" t="s">
        <v>82</v>
      </c>
      <c r="B8" s="33">
        <v>399.75</v>
      </c>
      <c r="C8" s="33">
        <v>0</v>
      </c>
      <c r="D8" s="33">
        <f t="shared" ref="D8:D10" si="0">B8+C8</f>
        <v>399.75</v>
      </c>
    </row>
    <row r="9" spans="1:4" x14ac:dyDescent="0.25">
      <c r="A9" s="2" t="s">
        <v>83</v>
      </c>
      <c r="B9" s="33">
        <v>16</v>
      </c>
      <c r="C9" s="33">
        <v>0</v>
      </c>
      <c r="D9" s="33">
        <f t="shared" si="0"/>
        <v>16</v>
      </c>
    </row>
    <row r="10" spans="1:4" x14ac:dyDescent="0.25">
      <c r="A10" s="2" t="s">
        <v>84</v>
      </c>
      <c r="B10" s="33">
        <v>0</v>
      </c>
      <c r="C10" s="33">
        <v>0</v>
      </c>
      <c r="D10" s="33">
        <f t="shared" si="0"/>
        <v>0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40EB60-FC56-4A05-997F-99D62C65F765}">
  <sheetPr>
    <pageSetUpPr fitToPage="1"/>
  </sheetPr>
  <dimension ref="A1:N47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v>44927</v>
      </c>
    </row>
    <row r="5" spans="1:14" x14ac:dyDescent="0.25">
      <c r="A5" s="35" t="s">
        <v>1</v>
      </c>
      <c r="B5" s="39"/>
      <c r="C5" s="39"/>
      <c r="D5" s="52"/>
      <c r="E5" s="53"/>
      <c r="F5" s="54"/>
      <c r="G5" s="7"/>
      <c r="I5" s="36" t="s">
        <v>76</v>
      </c>
      <c r="J5" s="50"/>
    </row>
    <row r="6" spans="1:14" ht="15.75" thickBot="1" x14ac:dyDescent="0.3">
      <c r="A6" s="37" t="s">
        <v>2</v>
      </c>
      <c r="B6" s="40"/>
      <c r="C6" s="40"/>
      <c r="D6" s="55"/>
      <c r="E6" s="56"/>
      <c r="F6" s="57"/>
      <c r="G6" s="7"/>
      <c r="I6" s="37" t="s">
        <v>8</v>
      </c>
      <c r="J6" s="51"/>
      <c r="L6" s="43">
        <f>COUNT(Jan[Date])</f>
        <v>31</v>
      </c>
    </row>
    <row r="7" spans="1:14" x14ac:dyDescent="0.25">
      <c r="L7">
        <f>_xlfn.DAYS(EOMONTH(J4,0)+1,J4)</f>
        <v>31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Jan Date</v>
      </c>
    </row>
    <row r="9" spans="1:14" ht="15.75" thickTop="1" x14ac:dyDescent="0.25">
      <c r="A9" s="18" t="str">
        <f>IF(Jan[[#This Row],[Date]]="","",UPPER(TEXT(Jan[[#This Row],[Date]],"DDD")))</f>
        <v>SUN</v>
      </c>
      <c r="B9" s="5">
        <f>IF(Jan[[#This Row],[Date]]="","",WEEKDAY(Jan[[#This Row],[Date]],11))</f>
        <v>7</v>
      </c>
      <c r="C9" s="5" t="str" cm="1">
        <f t="array" ref="C9">_xlfn.IFNA(_xlfn.XLOOKUP(Jan[[#This Row],[Date]],Obs_day,HN),"")</f>
        <v/>
      </c>
      <c r="D9" s="3">
        <f>IF(L9&gt;0,L9,"")</f>
        <v>44927</v>
      </c>
      <c r="E9" s="58"/>
      <c r="F9" s="58"/>
      <c r="G9" s="58"/>
      <c r="H9" s="58"/>
      <c r="I9" s="59"/>
      <c r="J9" s="60" t="str">
        <f>_xlfn.XLOOKUP(Jan[[#This Row],[Date]],Obs_day,Hol,"")</f>
        <v/>
      </c>
      <c r="L9" s="1" cm="1">
        <f t="array" ref="L9:L39">_xlfn.SEQUENCE(L7,1,J4,1)</f>
        <v>44927</v>
      </c>
      <c r="N9" s="41"/>
    </row>
    <row r="10" spans="1:14" x14ac:dyDescent="0.25">
      <c r="A10" s="17" t="str">
        <f>IF(Jan[[#This Row],[Date]]="","",UPPER(TEXT(Jan[[#This Row],[Date]],"DDD")))</f>
        <v>MON</v>
      </c>
      <c r="B10" s="5">
        <f>IF(Jan[[#This Row],[Date]]="","",WEEKDAY(Jan[[#This Row],[Date]],11))</f>
        <v>1</v>
      </c>
      <c r="C10" s="5" cm="1">
        <f t="array" ref="C10">_xlfn.IFNA(_xlfn.XLOOKUP(Jan[[#This Row],[Date]],Obs_day,HN),"")</f>
        <v>1</v>
      </c>
      <c r="D10" s="4">
        <f t="shared" ref="D10:D39" si="0">IF(L10&gt;0,L10,"")</f>
        <v>44928</v>
      </c>
      <c r="E10" s="61"/>
      <c r="F10" s="61"/>
      <c r="G10" s="61"/>
      <c r="H10" s="61"/>
      <c r="I10" s="62"/>
      <c r="J10" s="64" t="str">
        <f>_xlfn.XLOOKUP(Jan[[#This Row],[Date]],Obs_day,Hol,"")</f>
        <v>NYE Observance</v>
      </c>
      <c r="L10" s="1">
        <v>44928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IF(Jan[[#This Row],[Date]]="","",UPPER(TEXT(Jan[[#This Row],[Date]],"DDD")))</f>
        <v>TUE</v>
      </c>
      <c r="B11" s="5">
        <f>IF(Jan[[#This Row],[Date]]="","",WEEKDAY(Jan[[#This Row],[Date]],11))</f>
        <v>2</v>
      </c>
      <c r="C11" s="5" t="str" cm="1">
        <f t="array" ref="C11">_xlfn.IFNA(_xlfn.XLOOKUP(Jan[[#This Row],[Date]],Obs_day,HN),"")</f>
        <v/>
      </c>
      <c r="D11" s="4">
        <f t="shared" si="0"/>
        <v>44929</v>
      </c>
      <c r="E11" s="61"/>
      <c r="F11" s="61"/>
      <c r="G11" s="61"/>
      <c r="H11" s="61"/>
      <c r="I11" s="62"/>
      <c r="J11" s="60" t="str">
        <f>_xlfn.XLOOKUP(Jan[[#This Row],[Date]],Obs_day,Hol,"")</f>
        <v/>
      </c>
      <c r="L11" s="1">
        <v>44929</v>
      </c>
    </row>
    <row r="12" spans="1:14" x14ac:dyDescent="0.25">
      <c r="A12" s="17" t="str">
        <f>IF(Jan[[#This Row],[Date]]="","",UPPER(TEXT(Jan[[#This Row],[Date]],"DDD")))</f>
        <v>WED</v>
      </c>
      <c r="B12" s="5">
        <f>IF(Jan[[#This Row],[Date]]="","",WEEKDAY(Jan[[#This Row],[Date]],11))</f>
        <v>3</v>
      </c>
      <c r="C12" s="5" t="str" cm="1">
        <f t="array" ref="C12">_xlfn.IFNA(_xlfn.XLOOKUP(Jan[[#This Row],[Date]],Obs_day,HN),"")</f>
        <v/>
      </c>
      <c r="D12" s="4">
        <f t="shared" si="0"/>
        <v>44930</v>
      </c>
      <c r="E12" s="61"/>
      <c r="F12" s="61"/>
      <c r="G12" s="61"/>
      <c r="H12" s="61"/>
      <c r="I12" s="62"/>
      <c r="J12" s="60" t="str">
        <f>_xlfn.XLOOKUP(Jan[[#This Row],[Date]],Obs_day,Hol,"")</f>
        <v/>
      </c>
      <c r="L12" s="1">
        <v>44930</v>
      </c>
    </row>
    <row r="13" spans="1:14" x14ac:dyDescent="0.25">
      <c r="A13" s="17" t="str">
        <f>IF(Jan[[#This Row],[Date]]="","",UPPER(TEXT(Jan[[#This Row],[Date]],"DDD")))</f>
        <v>THU</v>
      </c>
      <c r="B13" s="5">
        <f>IF(Jan[[#This Row],[Date]]="","",WEEKDAY(Jan[[#This Row],[Date]],11))</f>
        <v>4</v>
      </c>
      <c r="C13" s="5" t="str" cm="1">
        <f t="array" ref="C13">_xlfn.IFNA(_xlfn.XLOOKUP(Jan[[#This Row],[Date]],Obs_day,HN),"")</f>
        <v/>
      </c>
      <c r="D13" s="4">
        <f t="shared" si="0"/>
        <v>44931</v>
      </c>
      <c r="E13" s="61"/>
      <c r="F13" s="61"/>
      <c r="G13" s="61"/>
      <c r="H13" s="61"/>
      <c r="I13" s="62"/>
      <c r="J13" s="60" t="str">
        <f>_xlfn.XLOOKUP(Jan[[#This Row],[Date]],Obs_day,Hol,"")</f>
        <v/>
      </c>
      <c r="L13" s="1">
        <v>44931</v>
      </c>
    </row>
    <row r="14" spans="1:14" x14ac:dyDescent="0.25">
      <c r="A14" s="17" t="str">
        <f>IF(Jan[[#This Row],[Date]]="","",UPPER(TEXT(Jan[[#This Row],[Date]],"DDD")))</f>
        <v>FRI</v>
      </c>
      <c r="B14" s="5">
        <f>IF(Jan[[#This Row],[Date]]="","",WEEKDAY(Jan[[#This Row],[Date]],11))</f>
        <v>5</v>
      </c>
      <c r="C14" s="5" t="str" cm="1">
        <f t="array" ref="C14">_xlfn.IFNA(_xlfn.XLOOKUP(Jan[[#This Row],[Date]],Obs_day,HN),"")</f>
        <v/>
      </c>
      <c r="D14" s="4">
        <f t="shared" si="0"/>
        <v>44932</v>
      </c>
      <c r="E14" s="61"/>
      <c r="F14" s="61"/>
      <c r="G14" s="61"/>
      <c r="H14" s="61"/>
      <c r="I14" s="62"/>
      <c r="J14" s="60" t="str">
        <f>_xlfn.XLOOKUP(Jan[[#This Row],[Date]],Obs_day,Hol,"")</f>
        <v/>
      </c>
      <c r="L14" s="1">
        <v>44932</v>
      </c>
    </row>
    <row r="15" spans="1:14" x14ac:dyDescent="0.25">
      <c r="A15" s="17" t="str">
        <f>IF(Jan[[#This Row],[Date]]="","",UPPER(TEXT(Jan[[#This Row],[Date]],"DDD")))</f>
        <v>SAT</v>
      </c>
      <c r="B15" s="5">
        <f>IF(Jan[[#This Row],[Date]]="","",WEEKDAY(Jan[[#This Row],[Date]],11))</f>
        <v>6</v>
      </c>
      <c r="C15" s="5" t="str" cm="1">
        <f t="array" ref="C15">_xlfn.IFNA(_xlfn.XLOOKUP(Jan[[#This Row],[Date]],Obs_day,HN),"")</f>
        <v/>
      </c>
      <c r="D15" s="4">
        <f t="shared" si="0"/>
        <v>44933</v>
      </c>
      <c r="E15" s="61"/>
      <c r="F15" s="61"/>
      <c r="G15" s="61"/>
      <c r="H15" s="61"/>
      <c r="I15" s="62"/>
      <c r="J15" s="60" t="str">
        <f>_xlfn.XLOOKUP(Jan[[#This Row],[Date]],Obs_day,Hol,"")</f>
        <v/>
      </c>
      <c r="L15" s="1">
        <v>44933</v>
      </c>
    </row>
    <row r="16" spans="1:14" x14ac:dyDescent="0.25">
      <c r="A16" s="17" t="str">
        <f>IF(Jan[[#This Row],[Date]]="","",UPPER(TEXT(Jan[[#This Row],[Date]],"DDD")))</f>
        <v>SUN</v>
      </c>
      <c r="B16" s="5">
        <f>IF(Jan[[#This Row],[Date]]="","",WEEKDAY(Jan[[#This Row],[Date]],11))</f>
        <v>7</v>
      </c>
      <c r="C16" s="5" t="str" cm="1">
        <f t="array" ref="C16">_xlfn.IFNA(_xlfn.XLOOKUP(Jan[[#This Row],[Date]],Obs_day,HN),"")</f>
        <v/>
      </c>
      <c r="D16" s="4">
        <f t="shared" si="0"/>
        <v>44934</v>
      </c>
      <c r="E16" s="61"/>
      <c r="F16" s="61"/>
      <c r="G16" s="61"/>
      <c r="H16" s="61"/>
      <c r="I16" s="62"/>
      <c r="J16" s="60" t="str">
        <f>_xlfn.XLOOKUP(Jan[[#This Row],[Date]],Obs_day,Hol,"")</f>
        <v/>
      </c>
      <c r="L16" s="1">
        <v>44934</v>
      </c>
    </row>
    <row r="17" spans="1:12" x14ac:dyDescent="0.25">
      <c r="A17" s="17" t="str">
        <f>IF(Jan[[#This Row],[Date]]="","",UPPER(TEXT(Jan[[#This Row],[Date]],"DDD")))</f>
        <v>MON</v>
      </c>
      <c r="B17" s="5">
        <f>IF(Jan[[#This Row],[Date]]="","",WEEKDAY(Jan[[#This Row],[Date]],11))</f>
        <v>1</v>
      </c>
      <c r="C17" s="5" t="str" cm="1">
        <f t="array" ref="C17">_xlfn.IFNA(_xlfn.XLOOKUP(Jan[[#This Row],[Date]],Obs_day,HN),"")</f>
        <v/>
      </c>
      <c r="D17" s="4">
        <f t="shared" si="0"/>
        <v>44935</v>
      </c>
      <c r="E17" s="61"/>
      <c r="F17" s="61"/>
      <c r="G17" s="61"/>
      <c r="H17" s="61"/>
      <c r="I17" s="62"/>
      <c r="J17" s="60" t="str">
        <f>_xlfn.XLOOKUP(Jan[[#This Row],[Date]],Obs_day,Hol,"")</f>
        <v/>
      </c>
      <c r="L17" s="1">
        <v>44935</v>
      </c>
    </row>
    <row r="18" spans="1:12" x14ac:dyDescent="0.25">
      <c r="A18" s="17" t="str">
        <f>IF(Jan[[#This Row],[Date]]="","",UPPER(TEXT(Jan[[#This Row],[Date]],"DDD")))</f>
        <v>TUE</v>
      </c>
      <c r="B18" s="5">
        <f>IF(Jan[[#This Row],[Date]]="","",WEEKDAY(Jan[[#This Row],[Date]],11))</f>
        <v>2</v>
      </c>
      <c r="C18" s="5" t="str" cm="1">
        <f t="array" ref="C18">_xlfn.IFNA(_xlfn.XLOOKUP(Jan[[#This Row],[Date]],Obs_day,HN),"")</f>
        <v/>
      </c>
      <c r="D18" s="4">
        <f t="shared" si="0"/>
        <v>44936</v>
      </c>
      <c r="E18" s="61"/>
      <c r="F18" s="61"/>
      <c r="G18" s="61"/>
      <c r="H18" s="61"/>
      <c r="I18" s="62"/>
      <c r="J18" s="60" t="str">
        <f>_xlfn.XLOOKUP(Jan[[#This Row],[Date]],Obs_day,Hol,"")</f>
        <v/>
      </c>
      <c r="L18" s="1">
        <v>44936</v>
      </c>
    </row>
    <row r="19" spans="1:12" x14ac:dyDescent="0.25">
      <c r="A19" s="17" t="str">
        <f>IF(Jan[[#This Row],[Date]]="","",UPPER(TEXT(Jan[[#This Row],[Date]],"DDD")))</f>
        <v>WED</v>
      </c>
      <c r="B19" s="5">
        <f>IF(Jan[[#This Row],[Date]]="","",WEEKDAY(Jan[[#This Row],[Date]],11))</f>
        <v>3</v>
      </c>
      <c r="C19" s="5" t="str" cm="1">
        <f t="array" ref="C19">_xlfn.IFNA(_xlfn.XLOOKUP(Jan[[#This Row],[Date]],Obs_day,HN),"")</f>
        <v/>
      </c>
      <c r="D19" s="4">
        <f t="shared" si="0"/>
        <v>44937</v>
      </c>
      <c r="E19" s="61"/>
      <c r="F19" s="61"/>
      <c r="G19" s="61"/>
      <c r="H19" s="61"/>
      <c r="I19" s="62"/>
      <c r="J19" s="60" t="str">
        <f>_xlfn.XLOOKUP(Jan[[#This Row],[Date]],Obs_day,Hol,"")</f>
        <v/>
      </c>
      <c r="L19" s="1">
        <v>44937</v>
      </c>
    </row>
    <row r="20" spans="1:12" x14ac:dyDescent="0.25">
      <c r="A20" s="17" t="str">
        <f>IF(Jan[[#This Row],[Date]]="","",UPPER(TEXT(Jan[[#This Row],[Date]],"DDD")))</f>
        <v>THU</v>
      </c>
      <c r="B20" s="5">
        <f>IF(Jan[[#This Row],[Date]]="","",WEEKDAY(Jan[[#This Row],[Date]],11))</f>
        <v>4</v>
      </c>
      <c r="C20" s="5" t="str" cm="1">
        <f t="array" ref="C20">_xlfn.IFNA(_xlfn.XLOOKUP(Jan[[#This Row],[Date]],Obs_day,HN),"")</f>
        <v/>
      </c>
      <c r="D20" s="4">
        <f t="shared" si="0"/>
        <v>44938</v>
      </c>
      <c r="E20" s="61"/>
      <c r="F20" s="61"/>
      <c r="G20" s="61"/>
      <c r="H20" s="61"/>
      <c r="I20" s="62"/>
      <c r="J20" s="60" t="str">
        <f>_xlfn.XLOOKUP(Jan[[#This Row],[Date]],Obs_day,Hol,"")</f>
        <v/>
      </c>
      <c r="L20" s="1">
        <v>44938</v>
      </c>
    </row>
    <row r="21" spans="1:12" x14ac:dyDescent="0.25">
      <c r="A21" s="17" t="str">
        <f>IF(Jan[[#This Row],[Date]]="","",UPPER(TEXT(Jan[[#This Row],[Date]],"DDD")))</f>
        <v>FRI</v>
      </c>
      <c r="B21" s="5">
        <f>IF(Jan[[#This Row],[Date]]="","",WEEKDAY(Jan[[#This Row],[Date]],11))</f>
        <v>5</v>
      </c>
      <c r="C21" s="5" t="str" cm="1">
        <f t="array" ref="C21">_xlfn.IFNA(_xlfn.XLOOKUP(Jan[[#This Row],[Date]],Obs_day,HN),"")</f>
        <v/>
      </c>
      <c r="D21" s="4">
        <f t="shared" si="0"/>
        <v>44939</v>
      </c>
      <c r="E21" s="61"/>
      <c r="F21" s="61"/>
      <c r="G21" s="61"/>
      <c r="H21" s="61"/>
      <c r="I21" s="62"/>
      <c r="J21" s="60" t="str">
        <f>_xlfn.XLOOKUP(Jan[[#This Row],[Date]],Obs_day,Hol,"")</f>
        <v/>
      </c>
      <c r="L21" s="1">
        <v>44939</v>
      </c>
    </row>
    <row r="22" spans="1:12" x14ac:dyDescent="0.25">
      <c r="A22" s="17" t="str">
        <f>IF(Jan[[#This Row],[Date]]="","",UPPER(TEXT(Jan[[#This Row],[Date]],"DDD")))</f>
        <v>SAT</v>
      </c>
      <c r="B22" s="5">
        <f>IF(Jan[[#This Row],[Date]]="","",WEEKDAY(Jan[[#This Row],[Date]],11))</f>
        <v>6</v>
      </c>
      <c r="C22" s="5" t="str" cm="1">
        <f t="array" ref="C22">_xlfn.IFNA(_xlfn.XLOOKUP(Jan[[#This Row],[Date]],Obs_day,HN),"")</f>
        <v/>
      </c>
      <c r="D22" s="4">
        <f t="shared" si="0"/>
        <v>44940</v>
      </c>
      <c r="E22" s="61"/>
      <c r="F22" s="61"/>
      <c r="G22" s="61"/>
      <c r="H22" s="61"/>
      <c r="I22" s="62"/>
      <c r="J22" s="60" t="str">
        <f>_xlfn.XLOOKUP(Jan[[#This Row],[Date]],Obs_day,Hol,"")</f>
        <v/>
      </c>
      <c r="L22" s="1">
        <v>44940</v>
      </c>
    </row>
    <row r="23" spans="1:12" x14ac:dyDescent="0.25">
      <c r="A23" s="17" t="str">
        <f>IF(Jan[[#This Row],[Date]]="","",UPPER(TEXT(Jan[[#This Row],[Date]],"DDD")))</f>
        <v>SUN</v>
      </c>
      <c r="B23" s="5">
        <f>IF(Jan[[#This Row],[Date]]="","",WEEKDAY(Jan[[#This Row],[Date]],11))</f>
        <v>7</v>
      </c>
      <c r="C23" s="5" t="str" cm="1">
        <f t="array" ref="C23">_xlfn.IFNA(_xlfn.XLOOKUP(Jan[[#This Row],[Date]],Obs_day,HN),"")</f>
        <v/>
      </c>
      <c r="D23" s="4">
        <f t="shared" si="0"/>
        <v>44941</v>
      </c>
      <c r="E23" s="61"/>
      <c r="F23" s="61"/>
      <c r="G23" s="61"/>
      <c r="H23" s="61"/>
      <c r="I23" s="62"/>
      <c r="J23" s="60" t="str">
        <f>_xlfn.XLOOKUP(Jan[[#This Row],[Date]],Obs_day,Hol,"")</f>
        <v/>
      </c>
      <c r="L23" s="1">
        <v>44941</v>
      </c>
    </row>
    <row r="24" spans="1:12" x14ac:dyDescent="0.25">
      <c r="A24" s="17" t="str">
        <f>IF(Jan[[#This Row],[Date]]="","",UPPER(TEXT(Jan[[#This Row],[Date]],"DDD")))</f>
        <v>MON</v>
      </c>
      <c r="B24" s="5">
        <f>IF(Jan[[#This Row],[Date]]="","",WEEKDAY(Jan[[#This Row],[Date]],11))</f>
        <v>1</v>
      </c>
      <c r="C24" s="5" cm="1">
        <f t="array" ref="C24">_xlfn.IFNA(_xlfn.XLOOKUP(Jan[[#This Row],[Date]],Obs_day,HN),"")</f>
        <v>1</v>
      </c>
      <c r="D24" s="4">
        <f t="shared" si="0"/>
        <v>44942</v>
      </c>
      <c r="E24" s="61"/>
      <c r="F24" s="61"/>
      <c r="G24" s="61"/>
      <c r="H24" s="61"/>
      <c r="I24" s="62"/>
      <c r="J24" s="64" t="str">
        <f>_xlfn.XLOOKUP(Jan[[#This Row],[Date]],Obs_day,Hol,"")</f>
        <v>Dr. Martin Luther King Jr.</v>
      </c>
      <c r="L24" s="1">
        <v>44942</v>
      </c>
    </row>
    <row r="25" spans="1:12" x14ac:dyDescent="0.25">
      <c r="A25" s="17" t="str">
        <f>IF(Jan[[#This Row],[Date]]="","",UPPER(TEXT(Jan[[#This Row],[Date]],"DDD")))</f>
        <v>TUE</v>
      </c>
      <c r="B25" s="5">
        <f>IF(Jan[[#This Row],[Date]]="","",WEEKDAY(Jan[[#This Row],[Date]],11))</f>
        <v>2</v>
      </c>
      <c r="C25" s="5" t="str" cm="1">
        <f t="array" ref="C25">_xlfn.IFNA(_xlfn.XLOOKUP(Jan[[#This Row],[Date]],Obs_day,HN),"")</f>
        <v/>
      </c>
      <c r="D25" s="4">
        <f t="shared" si="0"/>
        <v>44943</v>
      </c>
      <c r="E25" s="61"/>
      <c r="F25" s="61"/>
      <c r="G25" s="61"/>
      <c r="H25" s="61"/>
      <c r="I25" s="62"/>
      <c r="J25" s="60" t="str">
        <f>_xlfn.XLOOKUP(Jan[[#This Row],[Date]],Obs_day,Hol,"")</f>
        <v/>
      </c>
      <c r="L25" s="1">
        <v>44943</v>
      </c>
    </row>
    <row r="26" spans="1:12" x14ac:dyDescent="0.25">
      <c r="A26" s="17" t="str">
        <f>IF(Jan[[#This Row],[Date]]="","",UPPER(TEXT(Jan[[#This Row],[Date]],"DDD")))</f>
        <v>WED</v>
      </c>
      <c r="B26" s="5">
        <f>IF(Jan[[#This Row],[Date]]="","",WEEKDAY(Jan[[#This Row],[Date]],11))</f>
        <v>3</v>
      </c>
      <c r="C26" s="5" t="str" cm="1">
        <f t="array" ref="C26">_xlfn.IFNA(_xlfn.XLOOKUP(Jan[[#This Row],[Date]],Obs_day,HN),"")</f>
        <v/>
      </c>
      <c r="D26" s="4">
        <f t="shared" si="0"/>
        <v>44944</v>
      </c>
      <c r="E26" s="61"/>
      <c r="F26" s="61"/>
      <c r="G26" s="61"/>
      <c r="H26" s="61"/>
      <c r="I26" s="62"/>
      <c r="J26" s="60" t="str">
        <f>_xlfn.XLOOKUP(Jan[[#This Row],[Date]],Obs_day,Hol,"")</f>
        <v/>
      </c>
      <c r="L26" s="1">
        <v>44944</v>
      </c>
    </row>
    <row r="27" spans="1:12" x14ac:dyDescent="0.25">
      <c r="A27" s="17" t="str">
        <f>IF(Jan[[#This Row],[Date]]="","",UPPER(TEXT(Jan[[#This Row],[Date]],"DDD")))</f>
        <v>THU</v>
      </c>
      <c r="B27" s="5">
        <f>IF(Jan[[#This Row],[Date]]="","",WEEKDAY(Jan[[#This Row],[Date]],11))</f>
        <v>4</v>
      </c>
      <c r="C27" s="5" t="str" cm="1">
        <f t="array" ref="C27">_xlfn.IFNA(_xlfn.XLOOKUP(Jan[[#This Row],[Date]],Obs_day,HN),"")</f>
        <v/>
      </c>
      <c r="D27" s="4">
        <f t="shared" si="0"/>
        <v>44945</v>
      </c>
      <c r="E27" s="61"/>
      <c r="F27" s="61"/>
      <c r="G27" s="61"/>
      <c r="H27" s="61"/>
      <c r="I27" s="62"/>
      <c r="J27" s="60" t="str">
        <f>_xlfn.XLOOKUP(Jan[[#This Row],[Date]],Obs_day,Hol,"")</f>
        <v/>
      </c>
      <c r="L27" s="1">
        <v>44945</v>
      </c>
    </row>
    <row r="28" spans="1:12" x14ac:dyDescent="0.25">
      <c r="A28" s="17" t="str">
        <f>IF(Jan[[#This Row],[Date]]="","",UPPER(TEXT(Jan[[#This Row],[Date]],"DDD")))</f>
        <v>FRI</v>
      </c>
      <c r="B28" s="5">
        <f>IF(Jan[[#This Row],[Date]]="","",WEEKDAY(Jan[[#This Row],[Date]],11))</f>
        <v>5</v>
      </c>
      <c r="C28" s="5" t="str" cm="1">
        <f t="array" ref="C28">_xlfn.IFNA(_xlfn.XLOOKUP(Jan[[#This Row],[Date]],Obs_day,HN),"")</f>
        <v/>
      </c>
      <c r="D28" s="4">
        <f t="shared" si="0"/>
        <v>44946</v>
      </c>
      <c r="E28" s="61"/>
      <c r="F28" s="61"/>
      <c r="G28" s="61"/>
      <c r="H28" s="61"/>
      <c r="I28" s="62"/>
      <c r="J28" s="60" t="str">
        <f>_xlfn.XLOOKUP(Jan[[#This Row],[Date]],Obs_day,Hol,"")</f>
        <v/>
      </c>
      <c r="L28" s="1">
        <v>44946</v>
      </c>
    </row>
    <row r="29" spans="1:12" x14ac:dyDescent="0.25">
      <c r="A29" s="17" t="str">
        <f>IF(Jan[[#This Row],[Date]]="","",UPPER(TEXT(Jan[[#This Row],[Date]],"DDD")))</f>
        <v>SAT</v>
      </c>
      <c r="B29" s="5">
        <f>IF(Jan[[#This Row],[Date]]="","",WEEKDAY(Jan[[#This Row],[Date]],11))</f>
        <v>6</v>
      </c>
      <c r="C29" s="5" t="str" cm="1">
        <f t="array" ref="C29">_xlfn.IFNA(_xlfn.XLOOKUP(Jan[[#This Row],[Date]],Obs_day,HN),"")</f>
        <v/>
      </c>
      <c r="D29" s="4">
        <f t="shared" si="0"/>
        <v>44947</v>
      </c>
      <c r="E29" s="61"/>
      <c r="F29" s="61"/>
      <c r="G29" s="61"/>
      <c r="H29" s="61"/>
      <c r="I29" s="62"/>
      <c r="J29" s="60" t="str">
        <f>_xlfn.XLOOKUP(Jan[[#This Row],[Date]],Obs_day,Hol,"")</f>
        <v/>
      </c>
      <c r="L29" s="1">
        <v>44947</v>
      </c>
    </row>
    <row r="30" spans="1:12" x14ac:dyDescent="0.25">
      <c r="A30" s="17" t="str">
        <f>IF(Jan[[#This Row],[Date]]="","",UPPER(TEXT(Jan[[#This Row],[Date]],"DDD")))</f>
        <v>SUN</v>
      </c>
      <c r="B30" s="5">
        <f>IF(Jan[[#This Row],[Date]]="","",WEEKDAY(Jan[[#This Row],[Date]],11))</f>
        <v>7</v>
      </c>
      <c r="C30" s="5" t="str" cm="1">
        <f t="array" ref="C30">_xlfn.IFNA(_xlfn.XLOOKUP(Jan[[#This Row],[Date]],Obs_day,HN),"")</f>
        <v/>
      </c>
      <c r="D30" s="4">
        <f t="shared" si="0"/>
        <v>44948</v>
      </c>
      <c r="E30" s="61"/>
      <c r="F30" s="61"/>
      <c r="G30" s="61"/>
      <c r="H30" s="61"/>
      <c r="I30" s="62"/>
      <c r="J30" s="60" t="str">
        <f>_xlfn.XLOOKUP(Jan[[#This Row],[Date]],Obs_day,Hol,"")</f>
        <v/>
      </c>
      <c r="L30" s="1">
        <v>44948</v>
      </c>
    </row>
    <row r="31" spans="1:12" x14ac:dyDescent="0.25">
      <c r="A31" s="17" t="str">
        <f>IF(Jan[[#This Row],[Date]]="","",UPPER(TEXT(Jan[[#This Row],[Date]],"DDD")))</f>
        <v>MON</v>
      </c>
      <c r="B31" s="5">
        <f>IF(Jan[[#This Row],[Date]]="","",WEEKDAY(Jan[[#This Row],[Date]],11))</f>
        <v>1</v>
      </c>
      <c r="C31" s="5" t="str" cm="1">
        <f t="array" ref="C31">_xlfn.IFNA(_xlfn.XLOOKUP(Jan[[#This Row],[Date]],Obs_day,HN),"")</f>
        <v/>
      </c>
      <c r="D31" s="4">
        <f t="shared" si="0"/>
        <v>44949</v>
      </c>
      <c r="E31" s="61"/>
      <c r="F31" s="61"/>
      <c r="G31" s="61"/>
      <c r="H31" s="61"/>
      <c r="I31" s="62"/>
      <c r="J31" s="60" t="str">
        <f>_xlfn.XLOOKUP(Jan[[#This Row],[Date]],Obs_day,Hol,"")</f>
        <v/>
      </c>
      <c r="L31" s="1">
        <v>44949</v>
      </c>
    </row>
    <row r="32" spans="1:12" x14ac:dyDescent="0.25">
      <c r="A32" s="17" t="str">
        <f>IF(Jan[[#This Row],[Date]]="","",UPPER(TEXT(Jan[[#This Row],[Date]],"DDD")))</f>
        <v>TUE</v>
      </c>
      <c r="B32" s="5">
        <f>IF(Jan[[#This Row],[Date]]="","",WEEKDAY(Jan[[#This Row],[Date]],11))</f>
        <v>2</v>
      </c>
      <c r="C32" s="5" t="str" cm="1">
        <f t="array" ref="C32">_xlfn.IFNA(_xlfn.XLOOKUP(Jan[[#This Row],[Date]],Obs_day,HN),"")</f>
        <v/>
      </c>
      <c r="D32" s="4">
        <f t="shared" si="0"/>
        <v>44950</v>
      </c>
      <c r="E32" s="61"/>
      <c r="F32" s="61"/>
      <c r="G32" s="61"/>
      <c r="H32" s="61"/>
      <c r="I32" s="62"/>
      <c r="J32" s="60" t="str">
        <f>_xlfn.XLOOKUP(Jan[[#This Row],[Date]],Obs_day,Hol,"")</f>
        <v/>
      </c>
      <c r="L32" s="1">
        <v>44950</v>
      </c>
    </row>
    <row r="33" spans="1:12" x14ac:dyDescent="0.25">
      <c r="A33" s="17" t="str">
        <f>IF(Jan[[#This Row],[Date]]="","",UPPER(TEXT(Jan[[#This Row],[Date]],"DDD")))</f>
        <v>WED</v>
      </c>
      <c r="B33" s="5">
        <f>IF(Jan[[#This Row],[Date]]="","",WEEKDAY(Jan[[#This Row],[Date]],11))</f>
        <v>3</v>
      </c>
      <c r="C33" s="5" t="str" cm="1">
        <f t="array" ref="C33">_xlfn.IFNA(_xlfn.XLOOKUP(Jan[[#This Row],[Date]],Obs_day,HN),"")</f>
        <v/>
      </c>
      <c r="D33" s="4">
        <f t="shared" si="0"/>
        <v>44951</v>
      </c>
      <c r="E33" s="61"/>
      <c r="F33" s="61"/>
      <c r="G33" s="61"/>
      <c r="H33" s="61"/>
      <c r="I33" s="62"/>
      <c r="J33" s="60" t="str">
        <f>_xlfn.XLOOKUP(Jan[[#This Row],[Date]],Obs_day,Hol,"")</f>
        <v/>
      </c>
      <c r="L33" s="1">
        <v>44951</v>
      </c>
    </row>
    <row r="34" spans="1:12" x14ac:dyDescent="0.25">
      <c r="A34" s="17" t="str">
        <f>IF(Jan[[#This Row],[Date]]="","",UPPER(TEXT(Jan[[#This Row],[Date]],"DDD")))</f>
        <v>THU</v>
      </c>
      <c r="B34" s="5">
        <f>IF(Jan[[#This Row],[Date]]="","",WEEKDAY(Jan[[#This Row],[Date]],11))</f>
        <v>4</v>
      </c>
      <c r="C34" s="5" t="str" cm="1">
        <f t="array" ref="C34">_xlfn.IFNA(_xlfn.XLOOKUP(Jan[[#This Row],[Date]],Obs_day,HN),"")</f>
        <v/>
      </c>
      <c r="D34" s="4">
        <f t="shared" si="0"/>
        <v>44952</v>
      </c>
      <c r="E34" s="61"/>
      <c r="F34" s="61"/>
      <c r="G34" s="61"/>
      <c r="H34" s="61"/>
      <c r="I34" s="62"/>
      <c r="J34" s="60" t="str">
        <f>_xlfn.XLOOKUP(Jan[[#This Row],[Date]],Obs_day,Hol,"")</f>
        <v/>
      </c>
      <c r="L34" s="1">
        <v>44952</v>
      </c>
    </row>
    <row r="35" spans="1:12" x14ac:dyDescent="0.25">
      <c r="A35" s="17" t="str">
        <f>IF(Jan[[#This Row],[Date]]="","",UPPER(TEXT(Jan[[#This Row],[Date]],"DDD")))</f>
        <v>FRI</v>
      </c>
      <c r="B35" s="5">
        <f>IF(Jan[[#This Row],[Date]]="","",WEEKDAY(Jan[[#This Row],[Date]],11))</f>
        <v>5</v>
      </c>
      <c r="C35" s="5" t="str" cm="1">
        <f t="array" ref="C35">_xlfn.IFNA(_xlfn.XLOOKUP(Jan[[#This Row],[Date]],Obs_day,HN),"")</f>
        <v/>
      </c>
      <c r="D35" s="4">
        <f t="shared" si="0"/>
        <v>44953</v>
      </c>
      <c r="E35" s="61"/>
      <c r="F35" s="61"/>
      <c r="G35" s="61"/>
      <c r="H35" s="61"/>
      <c r="I35" s="62"/>
      <c r="J35" s="60" t="str">
        <f>_xlfn.XLOOKUP(Jan[[#This Row],[Date]],Obs_day,Hol,"")</f>
        <v/>
      </c>
      <c r="L35" s="1">
        <v>44953</v>
      </c>
    </row>
    <row r="36" spans="1:12" x14ac:dyDescent="0.25">
      <c r="A36" s="17" t="str">
        <f>IF(Jan[[#This Row],[Date]]="","",UPPER(TEXT(Jan[[#This Row],[Date]],"DDD")))</f>
        <v>SAT</v>
      </c>
      <c r="B36" s="5">
        <f>IF(Jan[[#This Row],[Date]]="","",WEEKDAY(Jan[[#This Row],[Date]],11))</f>
        <v>6</v>
      </c>
      <c r="C36" s="5" t="str" cm="1">
        <f t="array" ref="C36">_xlfn.IFNA(_xlfn.XLOOKUP(Jan[[#This Row],[Date]],Obs_day,HN),"")</f>
        <v/>
      </c>
      <c r="D36" s="4">
        <f t="shared" si="0"/>
        <v>44954</v>
      </c>
      <c r="E36" s="61"/>
      <c r="F36" s="61"/>
      <c r="G36" s="61"/>
      <c r="H36" s="61"/>
      <c r="I36" s="62"/>
      <c r="J36" s="60" t="str">
        <f>_xlfn.XLOOKUP(Jan[[#This Row],[Date]],Obs_day,Hol,"")</f>
        <v/>
      </c>
      <c r="L36" s="1">
        <v>44954</v>
      </c>
    </row>
    <row r="37" spans="1:12" x14ac:dyDescent="0.25">
      <c r="A37" s="17" t="str">
        <f>IF(Jan[[#This Row],[Date]]="","",UPPER(TEXT(Jan[[#This Row],[Date]],"DDD")))</f>
        <v>SUN</v>
      </c>
      <c r="B37" s="5">
        <f>IF(Jan[[#This Row],[Date]]="","",WEEKDAY(Jan[[#This Row],[Date]],11))</f>
        <v>7</v>
      </c>
      <c r="C37" s="5" t="str" cm="1">
        <f t="array" ref="C37">_xlfn.IFNA(_xlfn.XLOOKUP(Jan[[#This Row],[Date]],Obs_day,HN),"")</f>
        <v/>
      </c>
      <c r="D37" s="4">
        <f t="shared" si="0"/>
        <v>44955</v>
      </c>
      <c r="E37" s="61"/>
      <c r="F37" s="61"/>
      <c r="G37" s="61"/>
      <c r="H37" s="61"/>
      <c r="I37" s="62"/>
      <c r="J37" s="60" t="str">
        <f>_xlfn.XLOOKUP(Jan[[#This Row],[Date]],Obs_day,Hol,"")</f>
        <v/>
      </c>
      <c r="L37" s="1">
        <v>44955</v>
      </c>
    </row>
    <row r="38" spans="1:12" x14ac:dyDescent="0.25">
      <c r="A38" s="17" t="str">
        <f>IF(Jan[[#This Row],[Date]]="","",UPPER(TEXT(Jan[[#This Row],[Date]],"DDD")))</f>
        <v>MON</v>
      </c>
      <c r="B38" s="5">
        <f>IF(Jan[[#This Row],[Date]]="","",WEEKDAY(Jan[[#This Row],[Date]],11))</f>
        <v>1</v>
      </c>
      <c r="C38" s="5" t="str" cm="1">
        <f t="array" ref="C38">_xlfn.IFNA(_xlfn.XLOOKUP(Jan[[#This Row],[Date]],Obs_day,HN),"")</f>
        <v/>
      </c>
      <c r="D38" s="4">
        <f t="shared" si="0"/>
        <v>44956</v>
      </c>
      <c r="E38" s="61"/>
      <c r="F38" s="61"/>
      <c r="G38" s="61"/>
      <c r="H38" s="61"/>
      <c r="I38" s="62"/>
      <c r="J38" s="60" t="str">
        <f>_xlfn.XLOOKUP(Jan[[#This Row],[Date]],Obs_day,Hol,"")</f>
        <v/>
      </c>
      <c r="L38" s="1">
        <v>44956</v>
      </c>
    </row>
    <row r="39" spans="1:12" x14ac:dyDescent="0.25">
      <c r="A39" s="17" t="str">
        <f>IF(Jan[[#This Row],[Date]]="","",UPPER(TEXT(Jan[[#This Row],[Date]],"DDD")))</f>
        <v>TUE</v>
      </c>
      <c r="B39" s="6">
        <f>IF(Jan[[#This Row],[Date]]="","",WEEKDAY(Jan[[#This Row],[Date]],11))</f>
        <v>2</v>
      </c>
      <c r="C39" s="6" t="str" cm="1">
        <f t="array" ref="C39">_xlfn.IFNA(_xlfn.XLOOKUP(Jan[[#This Row],[Date]],Obs_day,HN),"")</f>
        <v/>
      </c>
      <c r="D39" s="4">
        <f t="shared" si="0"/>
        <v>44957</v>
      </c>
      <c r="E39" s="61"/>
      <c r="F39" s="61"/>
      <c r="G39" s="61"/>
      <c r="H39" s="61"/>
      <c r="I39" s="62"/>
      <c r="J39" s="63" t="str">
        <f>_xlfn.XLOOKUP(Jan[[#This Row],[Date]],Obs_day,Hol,"")</f>
        <v/>
      </c>
      <c r="L39" s="1">
        <v>44957</v>
      </c>
    </row>
    <row r="40" spans="1:12" x14ac:dyDescent="0.25">
      <c r="A40" s="30"/>
      <c r="B40" s="31"/>
      <c r="C40" s="31"/>
      <c r="D40" s="32"/>
      <c r="E40" s="34">
        <f>SUBTOTAL(109,Jan[Vacation
Hours])</f>
        <v>0</v>
      </c>
      <c r="F40" s="34">
        <f>SUBTOTAL(109,Jan[Sick
Hours])</f>
        <v>0</v>
      </c>
      <c r="G40" s="34">
        <f>SUBTOTAL(109,Jan[Float.
Hours])</f>
        <v>0</v>
      </c>
      <c r="H40" s="34">
        <f>SUBTOTAL(109,Jan[Other
Hours])</f>
        <v>0</v>
      </c>
      <c r="I40" s="28"/>
      <c r="J40" s="29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38</v>
      </c>
      <c r="B44" s="7"/>
      <c r="C44" s="7"/>
      <c r="D44" s="7"/>
      <c r="E44" s="7"/>
      <c r="F44" s="7"/>
      <c r="G44" s="7" t="s">
        <v>7</v>
      </c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ht="15.75" thickBot="1" x14ac:dyDescent="0.3">
      <c r="A46" s="66"/>
      <c r="B46" s="66"/>
      <c r="C46" s="66"/>
      <c r="D46" s="66"/>
      <c r="E46" s="66"/>
      <c r="F46" s="66"/>
      <c r="G46" s="66"/>
      <c r="H46" s="65"/>
      <c r="I46" s="65"/>
      <c r="J46" s="65"/>
    </row>
    <row r="47" spans="1:12" x14ac:dyDescent="0.25">
      <c r="A47" s="7" t="s">
        <v>39</v>
      </c>
      <c r="G47" s="7" t="s">
        <v>7</v>
      </c>
    </row>
  </sheetData>
  <sheetProtection algorithmName="SHA-512" hashValue="hTuQMeQbeSgXD09jdGMHUji2aVcCxCmVUOTbgElymVKzu/QumcBnUvBFgNC2U2GhJ1faUH4hwzFWdO9tA/HD9w==" saltValue="0Iquh+077EKfGEb3EXmEfA==" spinCount="100000" sheet="1" objects="1" scenarios="1"/>
  <mergeCells count="2">
    <mergeCell ref="D5:F5"/>
    <mergeCell ref="D6:F6"/>
  </mergeCells>
  <conditionalFormatting sqref="E9:J39">
    <cfRule type="expression" dxfId="123" priority="1">
      <formula>$C9=1</formula>
    </cfRule>
    <cfRule type="expression" dxfId="122" priority="2">
      <formula>$B9&gt;5</formula>
    </cfRule>
  </conditionalFormatting>
  <dataValidations count="2">
    <dataValidation type="list" allowBlank="1" showInputMessage="1" showErrorMessage="1" sqref="I9:I39" xr:uid="{4D2BB689-7B30-4E1B-A08B-F584BD542BA0}">
      <formula1>Codes_for_Other</formula1>
    </dataValidation>
    <dataValidation type="list" allowBlank="1" showInputMessage="1" showErrorMessage="1" sqref="J6" xr:uid="{B2BBE6D0-7A94-46D4-B60D-0B00492DAD5A}">
      <formula1>Locations</formula1>
    </dataValidation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B5E01-C185-4143-9D6D-552EBAD459D9}">
  <sheetPr>
    <pageSetUpPr fitToPage="1"/>
  </sheetPr>
  <dimension ref="A1:N44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EOMONTH(Jan!J4,0)+1</f>
        <v>44958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COUNT(Feb[Date])</f>
        <v>28</v>
      </c>
    </row>
    <row r="7" spans="1:14" x14ac:dyDescent="0.25">
      <c r="L7">
        <f>_xlfn.DAYS(EOMONTH(J4,0)+1,J4)</f>
        <v>28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Feb Date</v>
      </c>
    </row>
    <row r="9" spans="1:14" ht="15.75" thickTop="1" x14ac:dyDescent="0.25">
      <c r="A9" s="18" t="str">
        <f>IF(Feb[[#This Row],[Date]]="","",UPPER(TEXT(Feb[[#This Row],[Date]],"DDD")))</f>
        <v>WED</v>
      </c>
      <c r="B9" s="5">
        <f>IF(Feb[[#This Row],[Date]]="","",WEEKDAY(Feb[[#This Row],[Date]],11))</f>
        <v>3</v>
      </c>
      <c r="C9" s="5" t="str" cm="1">
        <f t="array" ref="C9">_xlfn.IFNA(_xlfn.XLOOKUP(Feb[[#This Row],[Date]],Obs_day,HN),"")</f>
        <v/>
      </c>
      <c r="D9" s="3">
        <f>IF(L9&gt;0,L9,"")</f>
        <v>44958</v>
      </c>
      <c r="E9" s="58"/>
      <c r="F9" s="58"/>
      <c r="G9" s="58"/>
      <c r="H9" s="58"/>
      <c r="I9" s="59"/>
      <c r="J9" s="60" t="str">
        <f>_xlfn.XLOOKUP(Feb[[#This Row],[Date]],Obs_day,Hol,"")</f>
        <v/>
      </c>
      <c r="L9" s="1" cm="1">
        <f t="array" ref="L9:L36">_xlfn.SEQUENCE(L7,1,J4,1)</f>
        <v>44958</v>
      </c>
      <c r="N9" s="41"/>
    </row>
    <row r="10" spans="1:14" x14ac:dyDescent="0.25">
      <c r="A10" s="17" t="str">
        <f>IF(Feb[[#This Row],[Date]]="","",UPPER(TEXT(Feb[[#This Row],[Date]],"DDD")))</f>
        <v>THU</v>
      </c>
      <c r="B10" s="5">
        <f>IF(Feb[[#This Row],[Date]]="","",WEEKDAY(Feb[[#This Row],[Date]],11))</f>
        <v>4</v>
      </c>
      <c r="C10" s="5" t="str" cm="1">
        <f t="array" ref="C10">_xlfn.IFNA(_xlfn.XLOOKUP(Feb[[#This Row],[Date]],Obs_day,HN),"")</f>
        <v/>
      </c>
      <c r="D10" s="4">
        <f t="shared" ref="D10:D36" si="0">IF(L10&gt;0,L10,"")</f>
        <v>44959</v>
      </c>
      <c r="E10" s="61"/>
      <c r="F10" s="61"/>
      <c r="G10" s="61"/>
      <c r="H10" s="61"/>
      <c r="I10" s="62"/>
      <c r="J10" s="60" t="str">
        <f>_xlfn.XLOOKUP(Feb[[#This Row],[Date]],Obs_day,Hol,"")</f>
        <v/>
      </c>
      <c r="L10" s="1">
        <v>44959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IF(Feb[[#This Row],[Date]]="","",UPPER(TEXT(Feb[[#This Row],[Date]],"DDD")))</f>
        <v>FRI</v>
      </c>
      <c r="B11" s="5">
        <f>IF(Feb[[#This Row],[Date]]="","",WEEKDAY(Feb[[#This Row],[Date]],11))</f>
        <v>5</v>
      </c>
      <c r="C11" s="5" t="str" cm="1">
        <f t="array" ref="C11">_xlfn.IFNA(_xlfn.XLOOKUP(Feb[[#This Row],[Date]],Obs_day,HN),"")</f>
        <v/>
      </c>
      <c r="D11" s="4">
        <f t="shared" si="0"/>
        <v>44960</v>
      </c>
      <c r="E11" s="61"/>
      <c r="F11" s="61"/>
      <c r="G11" s="61"/>
      <c r="H11" s="61"/>
      <c r="I11" s="62"/>
      <c r="J11" s="60" t="str">
        <f>_xlfn.XLOOKUP(Feb[[#This Row],[Date]],Obs_day,Hol,"")</f>
        <v/>
      </c>
      <c r="L11" s="1">
        <v>44960</v>
      </c>
    </row>
    <row r="12" spans="1:14" x14ac:dyDescent="0.25">
      <c r="A12" s="17" t="str">
        <f>IF(Feb[[#This Row],[Date]]="","",UPPER(TEXT(Feb[[#This Row],[Date]],"DDD")))</f>
        <v>SAT</v>
      </c>
      <c r="B12" s="5">
        <f>IF(Feb[[#This Row],[Date]]="","",WEEKDAY(Feb[[#This Row],[Date]],11))</f>
        <v>6</v>
      </c>
      <c r="C12" s="5" t="str" cm="1">
        <f t="array" ref="C12">_xlfn.IFNA(_xlfn.XLOOKUP(Feb[[#This Row],[Date]],Obs_day,HN),"")</f>
        <v/>
      </c>
      <c r="D12" s="4">
        <f t="shared" si="0"/>
        <v>44961</v>
      </c>
      <c r="E12" s="61"/>
      <c r="F12" s="61"/>
      <c r="G12" s="61"/>
      <c r="H12" s="61"/>
      <c r="I12" s="62"/>
      <c r="J12" s="60" t="str">
        <f>_xlfn.XLOOKUP(Feb[[#This Row],[Date]],Obs_day,Hol,"")</f>
        <v/>
      </c>
      <c r="L12" s="1">
        <v>44961</v>
      </c>
    </row>
    <row r="13" spans="1:14" x14ac:dyDescent="0.25">
      <c r="A13" s="17" t="str">
        <f>IF(Feb[[#This Row],[Date]]="","",UPPER(TEXT(Feb[[#This Row],[Date]],"DDD")))</f>
        <v>SUN</v>
      </c>
      <c r="B13" s="5">
        <f>IF(Feb[[#This Row],[Date]]="","",WEEKDAY(Feb[[#This Row],[Date]],11))</f>
        <v>7</v>
      </c>
      <c r="C13" s="5" t="str" cm="1">
        <f t="array" ref="C13">_xlfn.IFNA(_xlfn.XLOOKUP(Feb[[#This Row],[Date]],Obs_day,HN),"")</f>
        <v/>
      </c>
      <c r="D13" s="4">
        <f t="shared" si="0"/>
        <v>44962</v>
      </c>
      <c r="E13" s="61"/>
      <c r="F13" s="61"/>
      <c r="G13" s="61"/>
      <c r="H13" s="61"/>
      <c r="I13" s="62"/>
      <c r="J13" s="60" t="str">
        <f>_xlfn.XLOOKUP(Feb[[#This Row],[Date]],Obs_day,Hol,"")</f>
        <v/>
      </c>
      <c r="L13" s="1">
        <v>44962</v>
      </c>
    </row>
    <row r="14" spans="1:14" x14ac:dyDescent="0.25">
      <c r="A14" s="17" t="str">
        <f>IF(Feb[[#This Row],[Date]]="","",UPPER(TEXT(Feb[[#This Row],[Date]],"DDD")))</f>
        <v>MON</v>
      </c>
      <c r="B14" s="5">
        <f>IF(Feb[[#This Row],[Date]]="","",WEEKDAY(Feb[[#This Row],[Date]],11))</f>
        <v>1</v>
      </c>
      <c r="C14" s="5" t="str" cm="1">
        <f t="array" ref="C14">_xlfn.IFNA(_xlfn.XLOOKUP(Feb[[#This Row],[Date]],Obs_day,HN),"")</f>
        <v/>
      </c>
      <c r="D14" s="4">
        <f t="shared" si="0"/>
        <v>44963</v>
      </c>
      <c r="E14" s="61"/>
      <c r="F14" s="61"/>
      <c r="G14" s="61"/>
      <c r="H14" s="61"/>
      <c r="I14" s="62"/>
      <c r="J14" s="60" t="str">
        <f>_xlfn.XLOOKUP(Feb[[#This Row],[Date]],Obs_day,Hol,"")</f>
        <v/>
      </c>
      <c r="L14" s="1">
        <v>44963</v>
      </c>
    </row>
    <row r="15" spans="1:14" x14ac:dyDescent="0.25">
      <c r="A15" s="17" t="str">
        <f>IF(Feb[[#This Row],[Date]]="","",UPPER(TEXT(Feb[[#This Row],[Date]],"DDD")))</f>
        <v>TUE</v>
      </c>
      <c r="B15" s="5">
        <f>IF(Feb[[#This Row],[Date]]="","",WEEKDAY(Feb[[#This Row],[Date]],11))</f>
        <v>2</v>
      </c>
      <c r="C15" s="5" t="str" cm="1">
        <f t="array" ref="C15">_xlfn.IFNA(_xlfn.XLOOKUP(Feb[[#This Row],[Date]],Obs_day,HN),"")</f>
        <v/>
      </c>
      <c r="D15" s="4">
        <f t="shared" si="0"/>
        <v>44964</v>
      </c>
      <c r="E15" s="61"/>
      <c r="F15" s="61"/>
      <c r="G15" s="61"/>
      <c r="H15" s="61"/>
      <c r="I15" s="62"/>
      <c r="J15" s="60" t="str">
        <f>_xlfn.XLOOKUP(Feb[[#This Row],[Date]],Obs_day,Hol,"")</f>
        <v/>
      </c>
      <c r="L15" s="1">
        <v>44964</v>
      </c>
    </row>
    <row r="16" spans="1:14" x14ac:dyDescent="0.25">
      <c r="A16" s="17" t="str">
        <f>IF(Feb[[#This Row],[Date]]="","",UPPER(TEXT(Feb[[#This Row],[Date]],"DDD")))</f>
        <v>WED</v>
      </c>
      <c r="B16" s="5">
        <f>IF(Feb[[#This Row],[Date]]="","",WEEKDAY(Feb[[#This Row],[Date]],11))</f>
        <v>3</v>
      </c>
      <c r="C16" s="5" t="str" cm="1">
        <f t="array" ref="C16">_xlfn.IFNA(_xlfn.XLOOKUP(Feb[[#This Row],[Date]],Obs_day,HN),"")</f>
        <v/>
      </c>
      <c r="D16" s="4">
        <f t="shared" si="0"/>
        <v>44965</v>
      </c>
      <c r="E16" s="61"/>
      <c r="F16" s="61"/>
      <c r="G16" s="61"/>
      <c r="H16" s="61"/>
      <c r="I16" s="62"/>
      <c r="J16" s="60" t="str">
        <f>_xlfn.XLOOKUP(Feb[[#This Row],[Date]],Obs_day,Hol,"")</f>
        <v/>
      </c>
      <c r="L16" s="1">
        <v>44965</v>
      </c>
    </row>
    <row r="17" spans="1:12" x14ac:dyDescent="0.25">
      <c r="A17" s="17" t="str">
        <f>IF(Feb[[#This Row],[Date]]="","",UPPER(TEXT(Feb[[#This Row],[Date]],"DDD")))</f>
        <v>THU</v>
      </c>
      <c r="B17" s="5">
        <f>IF(Feb[[#This Row],[Date]]="","",WEEKDAY(Feb[[#This Row],[Date]],11))</f>
        <v>4</v>
      </c>
      <c r="C17" s="5" t="str" cm="1">
        <f t="array" ref="C17">_xlfn.IFNA(_xlfn.XLOOKUP(Feb[[#This Row],[Date]],Obs_day,HN),"")</f>
        <v/>
      </c>
      <c r="D17" s="4">
        <f t="shared" si="0"/>
        <v>44966</v>
      </c>
      <c r="E17" s="61"/>
      <c r="F17" s="61"/>
      <c r="G17" s="61"/>
      <c r="H17" s="61"/>
      <c r="I17" s="62"/>
      <c r="J17" s="60" t="str">
        <f>_xlfn.XLOOKUP(Feb[[#This Row],[Date]],Obs_day,Hol,"")</f>
        <v/>
      </c>
      <c r="L17" s="1">
        <v>44966</v>
      </c>
    </row>
    <row r="18" spans="1:12" x14ac:dyDescent="0.25">
      <c r="A18" s="17" t="str">
        <f>IF(Feb[[#This Row],[Date]]="","",UPPER(TEXT(Feb[[#This Row],[Date]],"DDD")))</f>
        <v>FRI</v>
      </c>
      <c r="B18" s="5">
        <f>IF(Feb[[#This Row],[Date]]="","",WEEKDAY(Feb[[#This Row],[Date]],11))</f>
        <v>5</v>
      </c>
      <c r="C18" s="5" t="str" cm="1">
        <f t="array" ref="C18">_xlfn.IFNA(_xlfn.XLOOKUP(Feb[[#This Row],[Date]],Obs_day,HN),"")</f>
        <v/>
      </c>
      <c r="D18" s="4">
        <f t="shared" si="0"/>
        <v>44967</v>
      </c>
      <c r="E18" s="61"/>
      <c r="F18" s="61"/>
      <c r="G18" s="61"/>
      <c r="H18" s="61"/>
      <c r="I18" s="62"/>
      <c r="J18" s="60" t="str">
        <f>_xlfn.XLOOKUP(Feb[[#This Row],[Date]],Obs_day,Hol,"")</f>
        <v/>
      </c>
      <c r="L18" s="1">
        <v>44967</v>
      </c>
    </row>
    <row r="19" spans="1:12" x14ac:dyDescent="0.25">
      <c r="A19" s="17" t="str">
        <f>IF(Feb[[#This Row],[Date]]="","",UPPER(TEXT(Feb[[#This Row],[Date]],"DDD")))</f>
        <v>SAT</v>
      </c>
      <c r="B19" s="5">
        <f>IF(Feb[[#This Row],[Date]]="","",WEEKDAY(Feb[[#This Row],[Date]],11))</f>
        <v>6</v>
      </c>
      <c r="C19" s="5" t="str" cm="1">
        <f t="array" ref="C19">_xlfn.IFNA(_xlfn.XLOOKUP(Feb[[#This Row],[Date]],Obs_day,HN),"")</f>
        <v/>
      </c>
      <c r="D19" s="4">
        <f t="shared" si="0"/>
        <v>44968</v>
      </c>
      <c r="E19" s="61"/>
      <c r="F19" s="61"/>
      <c r="G19" s="61"/>
      <c r="H19" s="61"/>
      <c r="I19" s="62"/>
      <c r="J19" s="60" t="str">
        <f>_xlfn.XLOOKUP(Feb[[#This Row],[Date]],Obs_day,Hol,"")</f>
        <v/>
      </c>
      <c r="L19" s="1">
        <v>44968</v>
      </c>
    </row>
    <row r="20" spans="1:12" x14ac:dyDescent="0.25">
      <c r="A20" s="17" t="str">
        <f>IF(Feb[[#This Row],[Date]]="","",UPPER(TEXT(Feb[[#This Row],[Date]],"DDD")))</f>
        <v>SUN</v>
      </c>
      <c r="B20" s="5">
        <f>IF(Feb[[#This Row],[Date]]="","",WEEKDAY(Feb[[#This Row],[Date]],11))</f>
        <v>7</v>
      </c>
      <c r="C20" s="5" t="str" cm="1">
        <f t="array" ref="C20">_xlfn.IFNA(_xlfn.XLOOKUP(Feb[[#This Row],[Date]],Obs_day,HN),"")</f>
        <v/>
      </c>
      <c r="D20" s="4">
        <f t="shared" si="0"/>
        <v>44969</v>
      </c>
      <c r="E20" s="61"/>
      <c r="F20" s="61"/>
      <c r="G20" s="61"/>
      <c r="H20" s="61"/>
      <c r="I20" s="62"/>
      <c r="J20" s="60" t="str">
        <f>_xlfn.XLOOKUP(Feb[[#This Row],[Date]],Obs_day,Hol,"")</f>
        <v/>
      </c>
      <c r="L20" s="1">
        <v>44969</v>
      </c>
    </row>
    <row r="21" spans="1:12" x14ac:dyDescent="0.25">
      <c r="A21" s="17" t="str">
        <f>IF(Feb[[#This Row],[Date]]="","",UPPER(TEXT(Feb[[#This Row],[Date]],"DDD")))</f>
        <v>MON</v>
      </c>
      <c r="B21" s="5">
        <f>IF(Feb[[#This Row],[Date]]="","",WEEKDAY(Feb[[#This Row],[Date]],11))</f>
        <v>1</v>
      </c>
      <c r="C21" s="5" t="str" cm="1">
        <f t="array" ref="C21">_xlfn.IFNA(_xlfn.XLOOKUP(Feb[[#This Row],[Date]],Obs_day,HN),"")</f>
        <v/>
      </c>
      <c r="D21" s="4">
        <f t="shared" si="0"/>
        <v>44970</v>
      </c>
      <c r="E21" s="61"/>
      <c r="F21" s="61"/>
      <c r="G21" s="61"/>
      <c r="H21" s="61"/>
      <c r="I21" s="62"/>
      <c r="J21" s="60" t="str">
        <f>_xlfn.XLOOKUP(Feb[[#This Row],[Date]],Obs_day,Hol,"")</f>
        <v/>
      </c>
      <c r="L21" s="1">
        <v>44970</v>
      </c>
    </row>
    <row r="22" spans="1:12" x14ac:dyDescent="0.25">
      <c r="A22" s="17" t="str">
        <f>IF(Feb[[#This Row],[Date]]="","",UPPER(TEXT(Feb[[#This Row],[Date]],"DDD")))</f>
        <v>TUE</v>
      </c>
      <c r="B22" s="5">
        <f>IF(Feb[[#This Row],[Date]]="","",WEEKDAY(Feb[[#This Row],[Date]],11))</f>
        <v>2</v>
      </c>
      <c r="C22" s="5" t="str" cm="1">
        <f t="array" ref="C22">_xlfn.IFNA(_xlfn.XLOOKUP(Feb[[#This Row],[Date]],Obs_day,HN),"")</f>
        <v/>
      </c>
      <c r="D22" s="4">
        <f t="shared" si="0"/>
        <v>44971</v>
      </c>
      <c r="E22" s="61"/>
      <c r="F22" s="61"/>
      <c r="G22" s="61"/>
      <c r="H22" s="61"/>
      <c r="I22" s="62"/>
      <c r="J22" s="60" t="str">
        <f>_xlfn.XLOOKUP(Feb[[#This Row],[Date]],Obs_day,Hol,"")</f>
        <v/>
      </c>
      <c r="L22" s="1">
        <v>44971</v>
      </c>
    </row>
    <row r="23" spans="1:12" x14ac:dyDescent="0.25">
      <c r="A23" s="17" t="str">
        <f>IF(Feb[[#This Row],[Date]]="","",UPPER(TEXT(Feb[[#This Row],[Date]],"DDD")))</f>
        <v>WED</v>
      </c>
      <c r="B23" s="5">
        <f>IF(Feb[[#This Row],[Date]]="","",WEEKDAY(Feb[[#This Row],[Date]],11))</f>
        <v>3</v>
      </c>
      <c r="C23" s="5" t="str" cm="1">
        <f t="array" ref="C23">_xlfn.IFNA(_xlfn.XLOOKUP(Feb[[#This Row],[Date]],Obs_day,HN),"")</f>
        <v/>
      </c>
      <c r="D23" s="4">
        <f t="shared" si="0"/>
        <v>44972</v>
      </c>
      <c r="E23" s="61"/>
      <c r="F23" s="61"/>
      <c r="G23" s="61"/>
      <c r="H23" s="61"/>
      <c r="I23" s="62"/>
      <c r="J23" s="60" t="str">
        <f>_xlfn.XLOOKUP(Feb[[#This Row],[Date]],Obs_day,Hol,"")</f>
        <v/>
      </c>
      <c r="L23" s="1">
        <v>44972</v>
      </c>
    </row>
    <row r="24" spans="1:12" x14ac:dyDescent="0.25">
      <c r="A24" s="17" t="str">
        <f>IF(Feb[[#This Row],[Date]]="","",UPPER(TEXT(Feb[[#This Row],[Date]],"DDD")))</f>
        <v>THU</v>
      </c>
      <c r="B24" s="5">
        <f>IF(Feb[[#This Row],[Date]]="","",WEEKDAY(Feb[[#This Row],[Date]],11))</f>
        <v>4</v>
      </c>
      <c r="C24" s="5" t="str" cm="1">
        <f t="array" ref="C24">_xlfn.IFNA(_xlfn.XLOOKUP(Feb[[#This Row],[Date]],Obs_day,HN),"")</f>
        <v/>
      </c>
      <c r="D24" s="4">
        <f t="shared" si="0"/>
        <v>44973</v>
      </c>
      <c r="E24" s="61"/>
      <c r="F24" s="61"/>
      <c r="G24" s="61"/>
      <c r="H24" s="61"/>
      <c r="I24" s="62"/>
      <c r="J24" s="60" t="str">
        <f>_xlfn.XLOOKUP(Feb[[#This Row],[Date]],Obs_day,Hol,"")</f>
        <v/>
      </c>
      <c r="L24" s="1">
        <v>44973</v>
      </c>
    </row>
    <row r="25" spans="1:12" x14ac:dyDescent="0.25">
      <c r="A25" s="17" t="str">
        <f>IF(Feb[[#This Row],[Date]]="","",UPPER(TEXT(Feb[[#This Row],[Date]],"DDD")))</f>
        <v>FRI</v>
      </c>
      <c r="B25" s="5">
        <f>IF(Feb[[#This Row],[Date]]="","",WEEKDAY(Feb[[#This Row],[Date]],11))</f>
        <v>5</v>
      </c>
      <c r="C25" s="5" cm="1">
        <f t="array" ref="C25">_xlfn.IFNA(_xlfn.XLOOKUP(Feb[[#This Row],[Date]],Obs_day,HN),"")</f>
        <v>1</v>
      </c>
      <c r="D25" s="4">
        <f t="shared" si="0"/>
        <v>44974</v>
      </c>
      <c r="E25" s="61"/>
      <c r="F25" s="61"/>
      <c r="G25" s="61"/>
      <c r="H25" s="61"/>
      <c r="I25" s="62"/>
      <c r="J25" s="64" t="str">
        <f>_xlfn.XLOOKUP(Feb[[#This Row],[Date]],Obs_day,Hol,"")</f>
        <v>President's Day</v>
      </c>
      <c r="L25" s="1">
        <v>44974</v>
      </c>
    </row>
    <row r="26" spans="1:12" x14ac:dyDescent="0.25">
      <c r="A26" s="17" t="str">
        <f>IF(Feb[[#This Row],[Date]]="","",UPPER(TEXT(Feb[[#This Row],[Date]],"DDD")))</f>
        <v>SAT</v>
      </c>
      <c r="B26" s="5">
        <f>IF(Feb[[#This Row],[Date]]="","",WEEKDAY(Feb[[#This Row],[Date]],11))</f>
        <v>6</v>
      </c>
      <c r="C26" s="5" t="str" cm="1">
        <f t="array" ref="C26">_xlfn.IFNA(_xlfn.XLOOKUP(Feb[[#This Row],[Date]],Obs_day,HN),"")</f>
        <v/>
      </c>
      <c r="D26" s="4">
        <f t="shared" si="0"/>
        <v>44975</v>
      </c>
      <c r="E26" s="61"/>
      <c r="F26" s="61"/>
      <c r="G26" s="61"/>
      <c r="H26" s="61"/>
      <c r="I26" s="62"/>
      <c r="J26" s="60" t="str">
        <f>_xlfn.XLOOKUP(Feb[[#This Row],[Date]],Obs_day,Hol,"")</f>
        <v/>
      </c>
      <c r="L26" s="1">
        <v>44975</v>
      </c>
    </row>
    <row r="27" spans="1:12" x14ac:dyDescent="0.25">
      <c r="A27" s="17" t="str">
        <f>IF(Feb[[#This Row],[Date]]="","",UPPER(TEXT(Feb[[#This Row],[Date]],"DDD")))</f>
        <v>SUN</v>
      </c>
      <c r="B27" s="5">
        <f>IF(Feb[[#This Row],[Date]]="","",WEEKDAY(Feb[[#This Row],[Date]],11))</f>
        <v>7</v>
      </c>
      <c r="C27" s="5" t="str" cm="1">
        <f t="array" ref="C27">_xlfn.IFNA(_xlfn.XLOOKUP(Feb[[#This Row],[Date]],Obs_day,HN),"")</f>
        <v/>
      </c>
      <c r="D27" s="4">
        <f t="shared" si="0"/>
        <v>44976</v>
      </c>
      <c r="E27" s="61"/>
      <c r="F27" s="61"/>
      <c r="G27" s="61"/>
      <c r="H27" s="61"/>
      <c r="I27" s="62"/>
      <c r="J27" s="60" t="str">
        <f>_xlfn.XLOOKUP(Feb[[#This Row],[Date]],Obs_day,Hol,"")</f>
        <v/>
      </c>
      <c r="L27" s="1">
        <v>44976</v>
      </c>
    </row>
    <row r="28" spans="1:12" x14ac:dyDescent="0.25">
      <c r="A28" s="17" t="str">
        <f>IF(Feb[[#This Row],[Date]]="","",UPPER(TEXT(Feb[[#This Row],[Date]],"DDD")))</f>
        <v>MON</v>
      </c>
      <c r="B28" s="5">
        <f>IF(Feb[[#This Row],[Date]]="","",WEEKDAY(Feb[[#This Row],[Date]],11))</f>
        <v>1</v>
      </c>
      <c r="C28" s="5" cm="1">
        <f t="array" ref="C28">_xlfn.IFNA(_xlfn.XLOOKUP(Feb[[#This Row],[Date]],Obs_day,HN),"")</f>
        <v>1</v>
      </c>
      <c r="D28" s="4">
        <f t="shared" si="0"/>
        <v>44977</v>
      </c>
      <c r="E28" s="61"/>
      <c r="F28" s="61"/>
      <c r="G28" s="61"/>
      <c r="H28" s="61"/>
      <c r="I28" s="62"/>
      <c r="J28" s="64" t="str">
        <f>_xlfn.XLOOKUP(Feb[[#This Row],[Date]],Obs_day,Hol,"")</f>
        <v>President's Day</v>
      </c>
      <c r="L28" s="1">
        <v>44977</v>
      </c>
    </row>
    <row r="29" spans="1:12" x14ac:dyDescent="0.25">
      <c r="A29" s="17" t="str">
        <f>IF(Feb[[#This Row],[Date]]="","",UPPER(TEXT(Feb[[#This Row],[Date]],"DDD")))</f>
        <v>TUE</v>
      </c>
      <c r="B29" s="5">
        <f>IF(Feb[[#This Row],[Date]]="","",WEEKDAY(Feb[[#This Row],[Date]],11))</f>
        <v>2</v>
      </c>
      <c r="C29" s="5" t="str" cm="1">
        <f t="array" ref="C29">_xlfn.IFNA(_xlfn.XLOOKUP(Feb[[#This Row],[Date]],Obs_day,HN),"")</f>
        <v/>
      </c>
      <c r="D29" s="4">
        <f t="shared" si="0"/>
        <v>44978</v>
      </c>
      <c r="E29" s="61"/>
      <c r="F29" s="61"/>
      <c r="G29" s="61"/>
      <c r="H29" s="61"/>
      <c r="I29" s="62"/>
      <c r="J29" s="60" t="str">
        <f>_xlfn.XLOOKUP(Feb[[#This Row],[Date]],Obs_day,Hol,"")</f>
        <v/>
      </c>
      <c r="L29" s="1">
        <v>44978</v>
      </c>
    </row>
    <row r="30" spans="1:12" x14ac:dyDescent="0.25">
      <c r="A30" s="17" t="str">
        <f>IF(Feb[[#This Row],[Date]]="","",UPPER(TEXT(Feb[[#This Row],[Date]],"DDD")))</f>
        <v>WED</v>
      </c>
      <c r="B30" s="5">
        <f>IF(Feb[[#This Row],[Date]]="","",WEEKDAY(Feb[[#This Row],[Date]],11))</f>
        <v>3</v>
      </c>
      <c r="C30" s="5" t="str" cm="1">
        <f t="array" ref="C30">_xlfn.IFNA(_xlfn.XLOOKUP(Feb[[#This Row],[Date]],Obs_day,HN),"")</f>
        <v/>
      </c>
      <c r="D30" s="4">
        <f t="shared" si="0"/>
        <v>44979</v>
      </c>
      <c r="E30" s="61"/>
      <c r="F30" s="61"/>
      <c r="G30" s="61"/>
      <c r="H30" s="61"/>
      <c r="I30" s="62"/>
      <c r="J30" s="60" t="str">
        <f>_xlfn.XLOOKUP(Feb[[#This Row],[Date]],Obs_day,Hol,"")</f>
        <v/>
      </c>
      <c r="L30" s="1">
        <v>44979</v>
      </c>
    </row>
    <row r="31" spans="1:12" x14ac:dyDescent="0.25">
      <c r="A31" s="17" t="str">
        <f>IF(Feb[[#This Row],[Date]]="","",UPPER(TEXT(Feb[[#This Row],[Date]],"DDD")))</f>
        <v>THU</v>
      </c>
      <c r="B31" s="5">
        <f>IF(Feb[[#This Row],[Date]]="","",WEEKDAY(Feb[[#This Row],[Date]],11))</f>
        <v>4</v>
      </c>
      <c r="C31" s="5" t="str" cm="1">
        <f t="array" ref="C31">_xlfn.IFNA(_xlfn.XLOOKUP(Feb[[#This Row],[Date]],Obs_day,HN),"")</f>
        <v/>
      </c>
      <c r="D31" s="4">
        <f t="shared" si="0"/>
        <v>44980</v>
      </c>
      <c r="E31" s="61"/>
      <c r="F31" s="61"/>
      <c r="G31" s="61"/>
      <c r="H31" s="61"/>
      <c r="I31" s="62"/>
      <c r="J31" s="60" t="str">
        <f>_xlfn.XLOOKUP(Feb[[#This Row],[Date]],Obs_day,Hol,"")</f>
        <v/>
      </c>
      <c r="L31" s="1">
        <v>44980</v>
      </c>
    </row>
    <row r="32" spans="1:12" x14ac:dyDescent="0.25">
      <c r="A32" s="17" t="str">
        <f>IF(Feb[[#This Row],[Date]]="","",UPPER(TEXT(Feb[[#This Row],[Date]],"DDD")))</f>
        <v>FRI</v>
      </c>
      <c r="B32" s="5">
        <f>IF(Feb[[#This Row],[Date]]="","",WEEKDAY(Feb[[#This Row],[Date]],11))</f>
        <v>5</v>
      </c>
      <c r="C32" s="5" t="str" cm="1">
        <f t="array" ref="C32">_xlfn.IFNA(_xlfn.XLOOKUP(Feb[[#This Row],[Date]],Obs_day,HN),"")</f>
        <v/>
      </c>
      <c r="D32" s="4">
        <f t="shared" si="0"/>
        <v>44981</v>
      </c>
      <c r="E32" s="61"/>
      <c r="F32" s="61"/>
      <c r="G32" s="61"/>
      <c r="H32" s="61"/>
      <c r="I32" s="62"/>
      <c r="J32" s="60" t="str">
        <f>_xlfn.XLOOKUP(Feb[[#This Row],[Date]],Obs_day,Hol,"")</f>
        <v/>
      </c>
      <c r="L32" s="1">
        <v>44981</v>
      </c>
    </row>
    <row r="33" spans="1:12" x14ac:dyDescent="0.25">
      <c r="A33" s="17" t="str">
        <f>IF(Feb[[#This Row],[Date]]="","",UPPER(TEXT(Feb[[#This Row],[Date]],"DDD")))</f>
        <v>SAT</v>
      </c>
      <c r="B33" s="5">
        <f>IF(Feb[[#This Row],[Date]]="","",WEEKDAY(Feb[[#This Row],[Date]],11))</f>
        <v>6</v>
      </c>
      <c r="C33" s="5" t="str" cm="1">
        <f t="array" ref="C33">_xlfn.IFNA(_xlfn.XLOOKUP(Feb[[#This Row],[Date]],Obs_day,HN),"")</f>
        <v/>
      </c>
      <c r="D33" s="4">
        <f t="shared" si="0"/>
        <v>44982</v>
      </c>
      <c r="E33" s="61"/>
      <c r="F33" s="61"/>
      <c r="G33" s="61"/>
      <c r="H33" s="61"/>
      <c r="I33" s="62"/>
      <c r="J33" s="60" t="str">
        <f>_xlfn.XLOOKUP(Feb[[#This Row],[Date]],Obs_day,Hol,"")</f>
        <v/>
      </c>
      <c r="L33" s="1">
        <v>44982</v>
      </c>
    </row>
    <row r="34" spans="1:12" x14ac:dyDescent="0.25">
      <c r="A34" s="17" t="str">
        <f>IF(Feb[[#This Row],[Date]]="","",UPPER(TEXT(Feb[[#This Row],[Date]],"DDD")))</f>
        <v>SUN</v>
      </c>
      <c r="B34" s="5">
        <f>IF(Feb[[#This Row],[Date]]="","",WEEKDAY(Feb[[#This Row],[Date]],11))</f>
        <v>7</v>
      </c>
      <c r="C34" s="5" t="str" cm="1">
        <f t="array" ref="C34">_xlfn.IFNA(_xlfn.XLOOKUP(Feb[[#This Row],[Date]],Obs_day,HN),"")</f>
        <v/>
      </c>
      <c r="D34" s="4">
        <f t="shared" si="0"/>
        <v>44983</v>
      </c>
      <c r="E34" s="61"/>
      <c r="F34" s="61"/>
      <c r="G34" s="61"/>
      <c r="H34" s="61"/>
      <c r="I34" s="62"/>
      <c r="J34" s="60" t="str">
        <f>_xlfn.XLOOKUP(Feb[[#This Row],[Date]],Obs_day,Hol,"")</f>
        <v/>
      </c>
      <c r="L34" s="1">
        <v>44983</v>
      </c>
    </row>
    <row r="35" spans="1:12" x14ac:dyDescent="0.25">
      <c r="A35" s="17" t="str">
        <f>IF(Feb[[#This Row],[Date]]="","",UPPER(TEXT(Feb[[#This Row],[Date]],"DDD")))</f>
        <v>MON</v>
      </c>
      <c r="B35" s="5">
        <f>IF(Feb[[#This Row],[Date]]="","",WEEKDAY(Feb[[#This Row],[Date]],11))</f>
        <v>1</v>
      </c>
      <c r="C35" s="5" t="str" cm="1">
        <f t="array" ref="C35">_xlfn.IFNA(_xlfn.XLOOKUP(Feb[[#This Row],[Date]],Obs_day,HN),"")</f>
        <v/>
      </c>
      <c r="D35" s="4">
        <f t="shared" si="0"/>
        <v>44984</v>
      </c>
      <c r="E35" s="61"/>
      <c r="F35" s="61"/>
      <c r="G35" s="61"/>
      <c r="H35" s="61"/>
      <c r="I35" s="62"/>
      <c r="J35" s="60" t="str">
        <f>_xlfn.XLOOKUP(Feb[[#This Row],[Date]],Obs_day,Hol,"")</f>
        <v/>
      </c>
      <c r="L35" s="1">
        <v>44984</v>
      </c>
    </row>
    <row r="36" spans="1:12" x14ac:dyDescent="0.25">
      <c r="A36" s="17" t="str">
        <f>IF(Feb[[#This Row],[Date]]="","",UPPER(TEXT(Feb[[#This Row],[Date]],"DDD")))</f>
        <v>TUE</v>
      </c>
      <c r="B36" s="5">
        <f>IF(Feb[[#This Row],[Date]]="","",WEEKDAY(Feb[[#This Row],[Date]],11))</f>
        <v>2</v>
      </c>
      <c r="C36" s="5" t="str" cm="1">
        <f t="array" ref="C36">_xlfn.IFNA(_xlfn.XLOOKUP(Feb[[#This Row],[Date]],Obs_day,HN),"")</f>
        <v/>
      </c>
      <c r="D36" s="4">
        <f t="shared" si="0"/>
        <v>44985</v>
      </c>
      <c r="E36" s="61"/>
      <c r="F36" s="61"/>
      <c r="G36" s="61"/>
      <c r="H36" s="61"/>
      <c r="I36" s="62"/>
      <c r="J36" s="60" t="str">
        <f>_xlfn.XLOOKUP(Feb[[#This Row],[Date]],Obs_day,Hol,"")</f>
        <v/>
      </c>
      <c r="L36" s="1">
        <v>44985</v>
      </c>
    </row>
    <row r="37" spans="1:12" x14ac:dyDescent="0.25">
      <c r="A37" s="30"/>
      <c r="B37" s="31"/>
      <c r="C37" s="31"/>
      <c r="D37" s="32"/>
      <c r="E37" s="34">
        <f>SUBTOTAL(109,Feb[Vacation
Hours])</f>
        <v>0</v>
      </c>
      <c r="F37" s="34">
        <f>SUBTOTAL(109,Feb[Sick
Hours])</f>
        <v>0</v>
      </c>
      <c r="G37" s="34">
        <f>SUBTOTAL(109,Feb[Float.
Hours])</f>
        <v>0</v>
      </c>
      <c r="H37" s="34">
        <f>SUBTOTAL(109,Feb[Other
Hours])</f>
        <v>0</v>
      </c>
      <c r="I37" s="28"/>
      <c r="J37" s="29"/>
      <c r="L37" s="1"/>
    </row>
    <row r="38" spans="1:12" x14ac:dyDescent="0.25">
      <c r="A38" s="65"/>
      <c r="B38" s="65"/>
      <c r="C38" s="65"/>
      <c r="D38" s="65"/>
      <c r="E38" s="65"/>
      <c r="F38" s="65"/>
      <c r="G38" s="65"/>
      <c r="H38" s="65"/>
      <c r="I38" s="65"/>
      <c r="J38" s="65"/>
      <c r="L38" s="1"/>
    </row>
    <row r="39" spans="1:12" x14ac:dyDescent="0.25">
      <c r="A39" s="65"/>
      <c r="B39" s="65"/>
      <c r="C39" s="65"/>
      <c r="D39" s="65"/>
      <c r="E39" s="65"/>
      <c r="F39" s="65"/>
      <c r="G39" s="65"/>
      <c r="H39" s="65"/>
      <c r="I39" s="65"/>
      <c r="J39" s="65"/>
      <c r="L39" s="1"/>
    </row>
    <row r="40" spans="1:12" ht="15.75" thickBot="1" x14ac:dyDescent="0.3">
      <c r="A40" s="66"/>
      <c r="B40" s="66"/>
      <c r="C40" s="66"/>
      <c r="D40" s="66"/>
      <c r="E40" s="66"/>
      <c r="F40" s="66"/>
      <c r="G40" s="66"/>
      <c r="H40" s="65"/>
      <c r="I40" s="65"/>
      <c r="J40" s="65"/>
    </row>
    <row r="41" spans="1:12" x14ac:dyDescent="0.25">
      <c r="A41" s="7" t="s">
        <v>38</v>
      </c>
      <c r="B41" s="7"/>
      <c r="C41" s="7"/>
      <c r="D41" s="7"/>
      <c r="E41" s="7"/>
      <c r="F41" s="7"/>
      <c r="G41" s="7" t="s">
        <v>7</v>
      </c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39</v>
      </c>
      <c r="G44" s="7" t="s">
        <v>7</v>
      </c>
    </row>
  </sheetData>
  <sheetProtection algorithmName="SHA-512" hashValue="GJ34jFJ3l+7bQckeknf960Eoz1njG/dAmfYRTOLyuJdxgJmaLEJgWSUflnTPYZvOnaRXYkuYOKfNY5z/Pb1yAA==" saltValue="QATrnBIvo9wYMk53i4u7ow==" spinCount="100000" sheet="1" objects="1" scenarios="1"/>
  <mergeCells count="2">
    <mergeCell ref="D5:F5"/>
    <mergeCell ref="D6:F6"/>
  </mergeCells>
  <conditionalFormatting sqref="E9:J36">
    <cfRule type="expression" dxfId="125" priority="1">
      <formula>$C9=1</formula>
    </cfRule>
    <cfRule type="expression" dxfId="124" priority="2">
      <formula>$B9&gt;5</formula>
    </cfRule>
  </conditionalFormatting>
  <dataValidations count="2">
    <dataValidation type="list" allowBlank="1" showInputMessage="1" showErrorMessage="1" sqref="I9:I36" xr:uid="{E44C340D-7BE0-4E19-8977-4E733F71B00A}">
      <formula1>Codes_for_Other</formula1>
    </dataValidation>
    <dataValidation allowBlank="1" showInputMessage="1" showErrorMessage="1" promptTitle="Personal Information Update" prompt="Enter your Name, ID, and Location in the Jan sheet." sqref="D5:F5" xr:uid="{59F400F4-B000-4021-B100-1AAA2564B31E}"/>
  </dataValidations>
  <pageMargins left="0.7" right="0.7" top="0.75" bottom="0.75" header="0.3" footer="0.3"/>
  <pageSetup scale="43"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44636-8AAC-40AE-8DE0-D325CBF0AF16}">
  <sheetPr>
    <pageSetUpPr fitToPage="1"/>
  </sheetPr>
  <dimension ref="A1:N47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EOMONTH(Jan!J4,1)+1</f>
        <v>44986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COUNT(Mar[Date])</f>
        <v>31</v>
      </c>
    </row>
    <row r="7" spans="1:14" x14ac:dyDescent="0.25">
      <c r="L7">
        <f>_xlfn.DAYS(EOMONTH(J4,0)+1,J4)</f>
        <v>31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Mar Date</v>
      </c>
    </row>
    <row r="9" spans="1:14" ht="15.75" thickTop="1" x14ac:dyDescent="0.25">
      <c r="A9" s="18" t="str">
        <f>IF(Mar[[#This Row],[Date]]="","",UPPER(TEXT(Mar[[#This Row],[Date]],"DDD")))</f>
        <v>WED</v>
      </c>
      <c r="B9" s="5">
        <f>IF(Mar[[#This Row],[Date]]="","",WEEKDAY(Mar[[#This Row],[Date]],11))</f>
        <v>3</v>
      </c>
      <c r="C9" s="5" t="str" cm="1">
        <f t="array" ref="C9">_xlfn.IFNA(_xlfn.XLOOKUP(Mar[[#This Row],[Date]],Obs_day,HN),"")</f>
        <v/>
      </c>
      <c r="D9" s="3">
        <f>IF(L9&gt;0,L9,"")</f>
        <v>44986</v>
      </c>
      <c r="E9" s="67"/>
      <c r="F9" s="67"/>
      <c r="G9" s="67"/>
      <c r="H9" s="67"/>
      <c r="I9" s="68"/>
      <c r="J9" s="64" t="str">
        <f>_xlfn.XLOOKUP(Mar[[#This Row],[Date]],Obs_day,Hol,"")</f>
        <v/>
      </c>
      <c r="L9" s="1" cm="1">
        <f t="array" ref="L9:L39">_xlfn.SEQUENCE(L7,1,J4,1)</f>
        <v>44986</v>
      </c>
      <c r="N9" s="41"/>
    </row>
    <row r="10" spans="1:14" x14ac:dyDescent="0.25">
      <c r="A10" s="17" t="str">
        <f>IF(Mar[[#This Row],[Date]]="","",UPPER(TEXT(Mar[[#This Row],[Date]],"DDD")))</f>
        <v>THU</v>
      </c>
      <c r="B10" s="5">
        <f>IF(Mar[[#This Row],[Date]]="","",WEEKDAY(Mar[[#This Row],[Date]],11))</f>
        <v>4</v>
      </c>
      <c r="C10" s="5" t="str" cm="1">
        <f t="array" ref="C10">_xlfn.IFNA(_xlfn.XLOOKUP(Mar[[#This Row],[Date]],Obs_day,HN),"")</f>
        <v/>
      </c>
      <c r="D10" s="4">
        <f t="shared" ref="D10:D39" si="0">IF(L10&gt;0,L10,"")</f>
        <v>44987</v>
      </c>
      <c r="E10" s="69"/>
      <c r="F10" s="69"/>
      <c r="G10" s="69"/>
      <c r="H10" s="69"/>
      <c r="I10" s="70"/>
      <c r="J10" s="64" t="str">
        <f>_xlfn.XLOOKUP(Mar[[#This Row],[Date]],Obs_day,Hol,"")</f>
        <v/>
      </c>
      <c r="L10" s="1">
        <v>44987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IF(Mar[[#This Row],[Date]]="","",UPPER(TEXT(Mar[[#This Row],[Date]],"DDD")))</f>
        <v>FRI</v>
      </c>
      <c r="B11" s="5">
        <f>IF(Mar[[#This Row],[Date]]="","",WEEKDAY(Mar[[#This Row],[Date]],11))</f>
        <v>5</v>
      </c>
      <c r="C11" s="5" t="str" cm="1">
        <f t="array" ref="C11">_xlfn.IFNA(_xlfn.XLOOKUP(Mar[[#This Row],[Date]],Obs_day,HN),"")</f>
        <v/>
      </c>
      <c r="D11" s="4">
        <f t="shared" si="0"/>
        <v>44988</v>
      </c>
      <c r="E11" s="69"/>
      <c r="F11" s="69"/>
      <c r="G11" s="69"/>
      <c r="H11" s="69"/>
      <c r="I11" s="70"/>
      <c r="J11" s="64" t="str">
        <f>_xlfn.XLOOKUP(Mar[[#This Row],[Date]],Obs_day,Hol,"")</f>
        <v/>
      </c>
      <c r="L11" s="1">
        <v>44988</v>
      </c>
    </row>
    <row r="12" spans="1:14" x14ac:dyDescent="0.25">
      <c r="A12" s="17" t="str">
        <f>IF(Mar[[#This Row],[Date]]="","",UPPER(TEXT(Mar[[#This Row],[Date]],"DDD")))</f>
        <v>SAT</v>
      </c>
      <c r="B12" s="5">
        <f>IF(Mar[[#This Row],[Date]]="","",WEEKDAY(Mar[[#This Row],[Date]],11))</f>
        <v>6</v>
      </c>
      <c r="C12" s="5" t="str" cm="1">
        <f t="array" ref="C12">_xlfn.IFNA(_xlfn.XLOOKUP(Mar[[#This Row],[Date]],Obs_day,HN),"")</f>
        <v/>
      </c>
      <c r="D12" s="4">
        <f t="shared" si="0"/>
        <v>44989</v>
      </c>
      <c r="E12" s="69"/>
      <c r="F12" s="69"/>
      <c r="G12" s="69"/>
      <c r="H12" s="69"/>
      <c r="I12" s="70"/>
      <c r="J12" s="64" t="str">
        <f>_xlfn.XLOOKUP(Mar[[#This Row],[Date]],Obs_day,Hol,"")</f>
        <v/>
      </c>
      <c r="L12" s="1">
        <v>44989</v>
      </c>
    </row>
    <row r="13" spans="1:14" x14ac:dyDescent="0.25">
      <c r="A13" s="17" t="str">
        <f>IF(Mar[[#This Row],[Date]]="","",UPPER(TEXT(Mar[[#This Row],[Date]],"DDD")))</f>
        <v>SUN</v>
      </c>
      <c r="B13" s="5">
        <f>IF(Mar[[#This Row],[Date]]="","",WEEKDAY(Mar[[#This Row],[Date]],11))</f>
        <v>7</v>
      </c>
      <c r="C13" s="5" t="str" cm="1">
        <f t="array" ref="C13">_xlfn.IFNA(_xlfn.XLOOKUP(Mar[[#This Row],[Date]],Obs_day,HN),"")</f>
        <v/>
      </c>
      <c r="D13" s="4">
        <f t="shared" si="0"/>
        <v>44990</v>
      </c>
      <c r="E13" s="69"/>
      <c r="F13" s="69"/>
      <c r="G13" s="69"/>
      <c r="H13" s="69"/>
      <c r="I13" s="70"/>
      <c r="J13" s="64" t="str">
        <f>_xlfn.XLOOKUP(Mar[[#This Row],[Date]],Obs_day,Hol,"")</f>
        <v/>
      </c>
      <c r="L13" s="1">
        <v>44990</v>
      </c>
    </row>
    <row r="14" spans="1:14" x14ac:dyDescent="0.25">
      <c r="A14" s="17" t="str">
        <f>IF(Mar[[#This Row],[Date]]="","",UPPER(TEXT(Mar[[#This Row],[Date]],"DDD")))</f>
        <v>MON</v>
      </c>
      <c r="B14" s="5">
        <f>IF(Mar[[#This Row],[Date]]="","",WEEKDAY(Mar[[#This Row],[Date]],11))</f>
        <v>1</v>
      </c>
      <c r="C14" s="5" t="str" cm="1">
        <f t="array" ref="C14">_xlfn.IFNA(_xlfn.XLOOKUP(Mar[[#This Row],[Date]],Obs_day,HN),"")</f>
        <v/>
      </c>
      <c r="D14" s="4">
        <f t="shared" si="0"/>
        <v>44991</v>
      </c>
      <c r="E14" s="69"/>
      <c r="F14" s="69"/>
      <c r="G14" s="69"/>
      <c r="H14" s="69"/>
      <c r="I14" s="70"/>
      <c r="J14" s="64" t="str">
        <f>_xlfn.XLOOKUP(Mar[[#This Row],[Date]],Obs_day,Hol,"")</f>
        <v/>
      </c>
      <c r="L14" s="1">
        <v>44991</v>
      </c>
    </row>
    <row r="15" spans="1:14" x14ac:dyDescent="0.25">
      <c r="A15" s="17" t="str">
        <f>IF(Mar[[#This Row],[Date]]="","",UPPER(TEXT(Mar[[#This Row],[Date]],"DDD")))</f>
        <v>TUE</v>
      </c>
      <c r="B15" s="5">
        <f>IF(Mar[[#This Row],[Date]]="","",WEEKDAY(Mar[[#This Row],[Date]],11))</f>
        <v>2</v>
      </c>
      <c r="C15" s="5" t="str" cm="1">
        <f t="array" ref="C15">_xlfn.IFNA(_xlfn.XLOOKUP(Mar[[#This Row],[Date]],Obs_day,HN),"")</f>
        <v/>
      </c>
      <c r="D15" s="4">
        <f t="shared" si="0"/>
        <v>44992</v>
      </c>
      <c r="E15" s="69"/>
      <c r="F15" s="69"/>
      <c r="G15" s="69"/>
      <c r="H15" s="69"/>
      <c r="I15" s="70"/>
      <c r="J15" s="64" t="str">
        <f>_xlfn.XLOOKUP(Mar[[#This Row],[Date]],Obs_day,Hol,"")</f>
        <v/>
      </c>
      <c r="L15" s="1">
        <v>44992</v>
      </c>
    </row>
    <row r="16" spans="1:14" x14ac:dyDescent="0.25">
      <c r="A16" s="17" t="str">
        <f>IF(Mar[[#This Row],[Date]]="","",UPPER(TEXT(Mar[[#This Row],[Date]],"DDD")))</f>
        <v>WED</v>
      </c>
      <c r="B16" s="5">
        <f>IF(Mar[[#This Row],[Date]]="","",WEEKDAY(Mar[[#This Row],[Date]],11))</f>
        <v>3</v>
      </c>
      <c r="C16" s="5" t="str" cm="1">
        <f t="array" ref="C16">_xlfn.IFNA(_xlfn.XLOOKUP(Mar[[#This Row],[Date]],Obs_day,HN),"")</f>
        <v/>
      </c>
      <c r="D16" s="4">
        <f t="shared" si="0"/>
        <v>44993</v>
      </c>
      <c r="E16" s="69"/>
      <c r="F16" s="69"/>
      <c r="G16" s="69"/>
      <c r="H16" s="69"/>
      <c r="I16" s="70"/>
      <c r="J16" s="64" t="str">
        <f>_xlfn.XLOOKUP(Mar[[#This Row],[Date]],Obs_day,Hol,"")</f>
        <v/>
      </c>
      <c r="L16" s="1">
        <v>44993</v>
      </c>
    </row>
    <row r="17" spans="1:12" x14ac:dyDescent="0.25">
      <c r="A17" s="17" t="str">
        <f>IF(Mar[[#This Row],[Date]]="","",UPPER(TEXT(Mar[[#This Row],[Date]],"DDD")))</f>
        <v>THU</v>
      </c>
      <c r="B17" s="5">
        <f>IF(Mar[[#This Row],[Date]]="","",WEEKDAY(Mar[[#This Row],[Date]],11))</f>
        <v>4</v>
      </c>
      <c r="C17" s="5" t="str" cm="1">
        <f t="array" ref="C17">_xlfn.IFNA(_xlfn.XLOOKUP(Mar[[#This Row],[Date]],Obs_day,HN),"")</f>
        <v/>
      </c>
      <c r="D17" s="4">
        <f t="shared" si="0"/>
        <v>44994</v>
      </c>
      <c r="E17" s="69"/>
      <c r="F17" s="69"/>
      <c r="G17" s="69"/>
      <c r="H17" s="69"/>
      <c r="I17" s="70"/>
      <c r="J17" s="64" t="str">
        <f>_xlfn.XLOOKUP(Mar[[#This Row],[Date]],Obs_day,Hol,"")</f>
        <v/>
      </c>
      <c r="L17" s="1">
        <v>44994</v>
      </c>
    </row>
    <row r="18" spans="1:12" x14ac:dyDescent="0.25">
      <c r="A18" s="17" t="str">
        <f>IF(Mar[[#This Row],[Date]]="","",UPPER(TEXT(Mar[[#This Row],[Date]],"DDD")))</f>
        <v>FRI</v>
      </c>
      <c r="B18" s="5">
        <f>IF(Mar[[#This Row],[Date]]="","",WEEKDAY(Mar[[#This Row],[Date]],11))</f>
        <v>5</v>
      </c>
      <c r="C18" s="5" t="str" cm="1">
        <f t="array" ref="C18">_xlfn.IFNA(_xlfn.XLOOKUP(Mar[[#This Row],[Date]],Obs_day,HN),"")</f>
        <v/>
      </c>
      <c r="D18" s="4">
        <f t="shared" si="0"/>
        <v>44995</v>
      </c>
      <c r="E18" s="69"/>
      <c r="F18" s="69"/>
      <c r="G18" s="69"/>
      <c r="H18" s="69"/>
      <c r="I18" s="70"/>
      <c r="J18" s="64" t="str">
        <f>_xlfn.XLOOKUP(Mar[[#This Row],[Date]],Obs_day,Hol,"")</f>
        <v/>
      </c>
      <c r="L18" s="1">
        <v>44995</v>
      </c>
    </row>
    <row r="19" spans="1:12" x14ac:dyDescent="0.25">
      <c r="A19" s="17" t="str">
        <f>IF(Mar[[#This Row],[Date]]="","",UPPER(TEXT(Mar[[#This Row],[Date]],"DDD")))</f>
        <v>SAT</v>
      </c>
      <c r="B19" s="5">
        <f>IF(Mar[[#This Row],[Date]]="","",WEEKDAY(Mar[[#This Row],[Date]],11))</f>
        <v>6</v>
      </c>
      <c r="C19" s="5" t="str" cm="1">
        <f t="array" ref="C19">_xlfn.IFNA(_xlfn.XLOOKUP(Mar[[#This Row],[Date]],Obs_day,HN),"")</f>
        <v/>
      </c>
      <c r="D19" s="4">
        <f t="shared" si="0"/>
        <v>44996</v>
      </c>
      <c r="E19" s="69"/>
      <c r="F19" s="69"/>
      <c r="G19" s="69"/>
      <c r="H19" s="69"/>
      <c r="I19" s="70"/>
      <c r="J19" s="64" t="str">
        <f>_xlfn.XLOOKUP(Mar[[#This Row],[Date]],Obs_day,Hol,"")</f>
        <v/>
      </c>
      <c r="L19" s="1">
        <v>44996</v>
      </c>
    </row>
    <row r="20" spans="1:12" x14ac:dyDescent="0.25">
      <c r="A20" s="17" t="str">
        <f>IF(Mar[[#This Row],[Date]]="","",UPPER(TEXT(Mar[[#This Row],[Date]],"DDD")))</f>
        <v>SUN</v>
      </c>
      <c r="B20" s="5">
        <f>IF(Mar[[#This Row],[Date]]="","",WEEKDAY(Mar[[#This Row],[Date]],11))</f>
        <v>7</v>
      </c>
      <c r="C20" s="5" t="str" cm="1">
        <f t="array" ref="C20">_xlfn.IFNA(_xlfn.XLOOKUP(Mar[[#This Row],[Date]],Obs_day,HN),"")</f>
        <v/>
      </c>
      <c r="D20" s="4">
        <f t="shared" si="0"/>
        <v>44997</v>
      </c>
      <c r="E20" s="69"/>
      <c r="F20" s="69"/>
      <c r="G20" s="69"/>
      <c r="H20" s="69"/>
      <c r="I20" s="70"/>
      <c r="J20" s="64" t="str">
        <f>_xlfn.XLOOKUP(Mar[[#This Row],[Date]],Obs_day,Hol,"")</f>
        <v/>
      </c>
      <c r="L20" s="1">
        <v>44997</v>
      </c>
    </row>
    <row r="21" spans="1:12" x14ac:dyDescent="0.25">
      <c r="A21" s="17" t="str">
        <f>IF(Mar[[#This Row],[Date]]="","",UPPER(TEXT(Mar[[#This Row],[Date]],"DDD")))</f>
        <v>MON</v>
      </c>
      <c r="B21" s="5">
        <f>IF(Mar[[#This Row],[Date]]="","",WEEKDAY(Mar[[#This Row],[Date]],11))</f>
        <v>1</v>
      </c>
      <c r="C21" s="5" t="str" cm="1">
        <f t="array" ref="C21">_xlfn.IFNA(_xlfn.XLOOKUP(Mar[[#This Row],[Date]],Obs_day,HN),"")</f>
        <v/>
      </c>
      <c r="D21" s="4">
        <f t="shared" si="0"/>
        <v>44998</v>
      </c>
      <c r="E21" s="69"/>
      <c r="F21" s="69"/>
      <c r="G21" s="69"/>
      <c r="H21" s="69"/>
      <c r="I21" s="70"/>
      <c r="J21" s="64" t="str">
        <f>_xlfn.XLOOKUP(Mar[[#This Row],[Date]],Obs_day,Hol,"")</f>
        <v/>
      </c>
      <c r="L21" s="1">
        <v>44998</v>
      </c>
    </row>
    <row r="22" spans="1:12" x14ac:dyDescent="0.25">
      <c r="A22" s="17" t="str">
        <f>IF(Mar[[#This Row],[Date]]="","",UPPER(TEXT(Mar[[#This Row],[Date]],"DDD")))</f>
        <v>TUE</v>
      </c>
      <c r="B22" s="5">
        <f>IF(Mar[[#This Row],[Date]]="","",WEEKDAY(Mar[[#This Row],[Date]],11))</f>
        <v>2</v>
      </c>
      <c r="C22" s="5" t="str" cm="1">
        <f t="array" ref="C22">_xlfn.IFNA(_xlfn.XLOOKUP(Mar[[#This Row],[Date]],Obs_day,HN),"")</f>
        <v/>
      </c>
      <c r="D22" s="4">
        <f t="shared" si="0"/>
        <v>44999</v>
      </c>
      <c r="E22" s="69"/>
      <c r="F22" s="69"/>
      <c r="G22" s="69"/>
      <c r="H22" s="69"/>
      <c r="I22" s="70"/>
      <c r="J22" s="64" t="str">
        <f>_xlfn.XLOOKUP(Mar[[#This Row],[Date]],Obs_day,Hol,"")</f>
        <v/>
      </c>
      <c r="L22" s="1">
        <v>44999</v>
      </c>
    </row>
    <row r="23" spans="1:12" x14ac:dyDescent="0.25">
      <c r="A23" s="17" t="str">
        <f>IF(Mar[[#This Row],[Date]]="","",UPPER(TEXT(Mar[[#This Row],[Date]],"DDD")))</f>
        <v>WED</v>
      </c>
      <c r="B23" s="5">
        <f>IF(Mar[[#This Row],[Date]]="","",WEEKDAY(Mar[[#This Row],[Date]],11))</f>
        <v>3</v>
      </c>
      <c r="C23" s="5" t="str" cm="1">
        <f t="array" ref="C23">_xlfn.IFNA(_xlfn.XLOOKUP(Mar[[#This Row],[Date]],Obs_day,HN),"")</f>
        <v/>
      </c>
      <c r="D23" s="4">
        <f t="shared" si="0"/>
        <v>45000</v>
      </c>
      <c r="E23" s="69"/>
      <c r="F23" s="69"/>
      <c r="G23" s="69"/>
      <c r="H23" s="69"/>
      <c r="I23" s="70"/>
      <c r="J23" s="64" t="str">
        <f>_xlfn.XLOOKUP(Mar[[#This Row],[Date]],Obs_day,Hol,"")</f>
        <v/>
      </c>
      <c r="L23" s="1">
        <v>45000</v>
      </c>
    </row>
    <row r="24" spans="1:12" x14ac:dyDescent="0.25">
      <c r="A24" s="17" t="str">
        <f>IF(Mar[[#This Row],[Date]]="","",UPPER(TEXT(Mar[[#This Row],[Date]],"DDD")))</f>
        <v>THU</v>
      </c>
      <c r="B24" s="5">
        <f>IF(Mar[[#This Row],[Date]]="","",WEEKDAY(Mar[[#This Row],[Date]],11))</f>
        <v>4</v>
      </c>
      <c r="C24" s="5" t="str" cm="1">
        <f t="array" ref="C24">_xlfn.IFNA(_xlfn.XLOOKUP(Mar[[#This Row],[Date]],Obs_day,HN),"")</f>
        <v/>
      </c>
      <c r="D24" s="4">
        <f t="shared" si="0"/>
        <v>45001</v>
      </c>
      <c r="E24" s="69"/>
      <c r="F24" s="69"/>
      <c r="G24" s="69"/>
      <c r="H24" s="69"/>
      <c r="I24" s="70"/>
      <c r="J24" s="64" t="str">
        <f>_xlfn.XLOOKUP(Mar[[#This Row],[Date]],Obs_day,Hol,"")</f>
        <v/>
      </c>
      <c r="L24" s="1">
        <v>45001</v>
      </c>
    </row>
    <row r="25" spans="1:12" x14ac:dyDescent="0.25">
      <c r="A25" s="17" t="str">
        <f>IF(Mar[[#This Row],[Date]]="","",UPPER(TEXT(Mar[[#This Row],[Date]],"DDD")))</f>
        <v>FRI</v>
      </c>
      <c r="B25" s="5">
        <f>IF(Mar[[#This Row],[Date]]="","",WEEKDAY(Mar[[#This Row],[Date]],11))</f>
        <v>5</v>
      </c>
      <c r="C25" s="5" t="str" cm="1">
        <f t="array" ref="C25">_xlfn.IFNA(_xlfn.XLOOKUP(Mar[[#This Row],[Date]],Obs_day,HN),"")</f>
        <v/>
      </c>
      <c r="D25" s="4">
        <f t="shared" si="0"/>
        <v>45002</v>
      </c>
      <c r="E25" s="69"/>
      <c r="F25" s="69"/>
      <c r="G25" s="69"/>
      <c r="H25" s="69"/>
      <c r="I25" s="70"/>
      <c r="J25" s="64" t="str">
        <f>_xlfn.XLOOKUP(Mar[[#This Row],[Date]],Obs_day,Hol,"")</f>
        <v/>
      </c>
      <c r="L25" s="1">
        <v>45002</v>
      </c>
    </row>
    <row r="26" spans="1:12" x14ac:dyDescent="0.25">
      <c r="A26" s="17" t="str">
        <f>IF(Mar[[#This Row],[Date]]="","",UPPER(TEXT(Mar[[#This Row],[Date]],"DDD")))</f>
        <v>SAT</v>
      </c>
      <c r="B26" s="5">
        <f>IF(Mar[[#This Row],[Date]]="","",WEEKDAY(Mar[[#This Row],[Date]],11))</f>
        <v>6</v>
      </c>
      <c r="C26" s="5" t="str" cm="1">
        <f t="array" ref="C26">_xlfn.IFNA(_xlfn.XLOOKUP(Mar[[#This Row],[Date]],Obs_day,HN),"")</f>
        <v/>
      </c>
      <c r="D26" s="4">
        <f t="shared" si="0"/>
        <v>45003</v>
      </c>
      <c r="E26" s="69"/>
      <c r="F26" s="69"/>
      <c r="G26" s="69"/>
      <c r="H26" s="69"/>
      <c r="I26" s="70"/>
      <c r="J26" s="64" t="str">
        <f>_xlfn.XLOOKUP(Mar[[#This Row],[Date]],Obs_day,Hol,"")</f>
        <v/>
      </c>
      <c r="L26" s="1">
        <v>45003</v>
      </c>
    </row>
    <row r="27" spans="1:12" x14ac:dyDescent="0.25">
      <c r="A27" s="17" t="str">
        <f>IF(Mar[[#This Row],[Date]]="","",UPPER(TEXT(Mar[[#This Row],[Date]],"DDD")))</f>
        <v>SUN</v>
      </c>
      <c r="B27" s="5">
        <f>IF(Mar[[#This Row],[Date]]="","",WEEKDAY(Mar[[#This Row],[Date]],11))</f>
        <v>7</v>
      </c>
      <c r="C27" s="5" t="str" cm="1">
        <f t="array" ref="C27">_xlfn.IFNA(_xlfn.XLOOKUP(Mar[[#This Row],[Date]],Obs_day,HN),"")</f>
        <v/>
      </c>
      <c r="D27" s="4">
        <f t="shared" si="0"/>
        <v>45004</v>
      </c>
      <c r="E27" s="69"/>
      <c r="F27" s="69"/>
      <c r="G27" s="69"/>
      <c r="H27" s="69"/>
      <c r="I27" s="70"/>
      <c r="J27" s="64" t="str">
        <f>_xlfn.XLOOKUP(Mar[[#This Row],[Date]],Obs_day,Hol,"")</f>
        <v/>
      </c>
      <c r="L27" s="1">
        <v>45004</v>
      </c>
    </row>
    <row r="28" spans="1:12" x14ac:dyDescent="0.25">
      <c r="A28" s="17" t="str">
        <f>IF(Mar[[#This Row],[Date]]="","",UPPER(TEXT(Mar[[#This Row],[Date]],"DDD")))</f>
        <v>MON</v>
      </c>
      <c r="B28" s="5">
        <f>IF(Mar[[#This Row],[Date]]="","",WEEKDAY(Mar[[#This Row],[Date]],11))</f>
        <v>1</v>
      </c>
      <c r="C28" s="5" t="str" cm="1">
        <f t="array" ref="C28">_xlfn.IFNA(_xlfn.XLOOKUP(Mar[[#This Row],[Date]],Obs_day,HN),"")</f>
        <v/>
      </c>
      <c r="D28" s="4">
        <f t="shared" si="0"/>
        <v>45005</v>
      </c>
      <c r="E28" s="69"/>
      <c r="F28" s="69"/>
      <c r="G28" s="69"/>
      <c r="H28" s="69"/>
      <c r="I28" s="70"/>
      <c r="J28" s="64" t="str">
        <f>_xlfn.XLOOKUP(Mar[[#This Row],[Date]],Obs_day,Hol,"")</f>
        <v/>
      </c>
      <c r="L28" s="1">
        <v>45005</v>
      </c>
    </row>
    <row r="29" spans="1:12" x14ac:dyDescent="0.25">
      <c r="A29" s="17" t="str">
        <f>IF(Mar[[#This Row],[Date]]="","",UPPER(TEXT(Mar[[#This Row],[Date]],"DDD")))</f>
        <v>TUE</v>
      </c>
      <c r="B29" s="5">
        <f>IF(Mar[[#This Row],[Date]]="","",WEEKDAY(Mar[[#This Row],[Date]],11))</f>
        <v>2</v>
      </c>
      <c r="C29" s="5" t="str" cm="1">
        <f t="array" ref="C29">_xlfn.IFNA(_xlfn.XLOOKUP(Mar[[#This Row],[Date]],Obs_day,HN),"")</f>
        <v/>
      </c>
      <c r="D29" s="4">
        <f t="shared" si="0"/>
        <v>45006</v>
      </c>
      <c r="E29" s="69"/>
      <c r="F29" s="69"/>
      <c r="G29" s="69"/>
      <c r="H29" s="69"/>
      <c r="I29" s="70"/>
      <c r="J29" s="64" t="str">
        <f>_xlfn.XLOOKUP(Mar[[#This Row],[Date]],Obs_day,Hol,"")</f>
        <v/>
      </c>
      <c r="L29" s="1">
        <v>45006</v>
      </c>
    </row>
    <row r="30" spans="1:12" x14ac:dyDescent="0.25">
      <c r="A30" s="17" t="str">
        <f>IF(Mar[[#This Row],[Date]]="","",UPPER(TEXT(Mar[[#This Row],[Date]],"DDD")))</f>
        <v>WED</v>
      </c>
      <c r="B30" s="5">
        <f>IF(Mar[[#This Row],[Date]]="","",WEEKDAY(Mar[[#This Row],[Date]],11))</f>
        <v>3</v>
      </c>
      <c r="C30" s="5" t="str" cm="1">
        <f t="array" ref="C30">_xlfn.IFNA(_xlfn.XLOOKUP(Mar[[#This Row],[Date]],Obs_day,HN),"")</f>
        <v/>
      </c>
      <c r="D30" s="4">
        <f t="shared" si="0"/>
        <v>45007</v>
      </c>
      <c r="E30" s="69"/>
      <c r="F30" s="69"/>
      <c r="G30" s="69"/>
      <c r="H30" s="69"/>
      <c r="I30" s="70"/>
      <c r="J30" s="64" t="str">
        <f>_xlfn.XLOOKUP(Mar[[#This Row],[Date]],Obs_day,Hol,"")</f>
        <v/>
      </c>
      <c r="L30" s="1">
        <v>45007</v>
      </c>
    </row>
    <row r="31" spans="1:12" x14ac:dyDescent="0.25">
      <c r="A31" s="17" t="str">
        <f>IF(Mar[[#This Row],[Date]]="","",UPPER(TEXT(Mar[[#This Row],[Date]],"DDD")))</f>
        <v>THU</v>
      </c>
      <c r="B31" s="5">
        <f>IF(Mar[[#This Row],[Date]]="","",WEEKDAY(Mar[[#This Row],[Date]],11))</f>
        <v>4</v>
      </c>
      <c r="C31" s="5" t="str" cm="1">
        <f t="array" ref="C31">_xlfn.IFNA(_xlfn.XLOOKUP(Mar[[#This Row],[Date]],Obs_day,HN),"")</f>
        <v/>
      </c>
      <c r="D31" s="4">
        <f t="shared" si="0"/>
        <v>45008</v>
      </c>
      <c r="E31" s="69"/>
      <c r="F31" s="69"/>
      <c r="G31" s="69"/>
      <c r="H31" s="69"/>
      <c r="I31" s="70"/>
      <c r="J31" s="64" t="str">
        <f>_xlfn.XLOOKUP(Mar[[#This Row],[Date]],Obs_day,Hol,"")</f>
        <v/>
      </c>
      <c r="L31" s="1">
        <v>45008</v>
      </c>
    </row>
    <row r="32" spans="1:12" x14ac:dyDescent="0.25">
      <c r="A32" s="17" t="str">
        <f>IF(Mar[[#This Row],[Date]]="","",UPPER(TEXT(Mar[[#This Row],[Date]],"DDD")))</f>
        <v>FRI</v>
      </c>
      <c r="B32" s="5">
        <f>IF(Mar[[#This Row],[Date]]="","",WEEKDAY(Mar[[#This Row],[Date]],11))</f>
        <v>5</v>
      </c>
      <c r="C32" s="5" t="str" cm="1">
        <f t="array" ref="C32">_xlfn.IFNA(_xlfn.XLOOKUP(Mar[[#This Row],[Date]],Obs_day,HN),"")</f>
        <v/>
      </c>
      <c r="D32" s="4">
        <f t="shared" si="0"/>
        <v>45009</v>
      </c>
      <c r="E32" s="69"/>
      <c r="F32" s="69"/>
      <c r="G32" s="69"/>
      <c r="H32" s="69"/>
      <c r="I32" s="70"/>
      <c r="J32" s="64" t="str">
        <f>_xlfn.XLOOKUP(Mar[[#This Row],[Date]],Obs_day,Hol,"")</f>
        <v/>
      </c>
      <c r="L32" s="1">
        <v>45009</v>
      </c>
    </row>
    <row r="33" spans="1:12" x14ac:dyDescent="0.25">
      <c r="A33" s="17" t="str">
        <f>IF(Mar[[#This Row],[Date]]="","",UPPER(TEXT(Mar[[#This Row],[Date]],"DDD")))</f>
        <v>SAT</v>
      </c>
      <c r="B33" s="5">
        <f>IF(Mar[[#This Row],[Date]]="","",WEEKDAY(Mar[[#This Row],[Date]],11))</f>
        <v>6</v>
      </c>
      <c r="C33" s="5" t="str" cm="1">
        <f t="array" ref="C33">_xlfn.IFNA(_xlfn.XLOOKUP(Mar[[#This Row],[Date]],Obs_day,HN),"")</f>
        <v/>
      </c>
      <c r="D33" s="4">
        <f t="shared" si="0"/>
        <v>45010</v>
      </c>
      <c r="E33" s="69"/>
      <c r="F33" s="69"/>
      <c r="G33" s="69"/>
      <c r="H33" s="69"/>
      <c r="I33" s="70"/>
      <c r="J33" s="64" t="str">
        <f>_xlfn.XLOOKUP(Mar[[#This Row],[Date]],Obs_day,Hol,"")</f>
        <v/>
      </c>
      <c r="L33" s="1">
        <v>45010</v>
      </c>
    </row>
    <row r="34" spans="1:12" x14ac:dyDescent="0.25">
      <c r="A34" s="17" t="str">
        <f>IF(Mar[[#This Row],[Date]]="","",UPPER(TEXT(Mar[[#This Row],[Date]],"DDD")))</f>
        <v>SUN</v>
      </c>
      <c r="B34" s="5">
        <f>IF(Mar[[#This Row],[Date]]="","",WEEKDAY(Mar[[#This Row],[Date]],11))</f>
        <v>7</v>
      </c>
      <c r="C34" s="5" t="str" cm="1">
        <f t="array" ref="C34">_xlfn.IFNA(_xlfn.XLOOKUP(Mar[[#This Row],[Date]],Obs_day,HN),"")</f>
        <v/>
      </c>
      <c r="D34" s="4">
        <f t="shared" si="0"/>
        <v>45011</v>
      </c>
      <c r="E34" s="69"/>
      <c r="F34" s="69"/>
      <c r="G34" s="69"/>
      <c r="H34" s="69"/>
      <c r="I34" s="70"/>
      <c r="J34" s="64" t="str">
        <f>_xlfn.XLOOKUP(Mar[[#This Row],[Date]],Obs_day,Hol,"")</f>
        <v/>
      </c>
      <c r="L34" s="1">
        <v>45011</v>
      </c>
    </row>
    <row r="35" spans="1:12" x14ac:dyDescent="0.25">
      <c r="A35" s="17" t="str">
        <f>IF(Mar[[#This Row],[Date]]="","",UPPER(TEXT(Mar[[#This Row],[Date]],"DDD")))</f>
        <v>MON</v>
      </c>
      <c r="B35" s="5">
        <f>IF(Mar[[#This Row],[Date]]="","",WEEKDAY(Mar[[#This Row],[Date]],11))</f>
        <v>1</v>
      </c>
      <c r="C35" s="5" t="str" cm="1">
        <f t="array" ref="C35">_xlfn.IFNA(_xlfn.XLOOKUP(Mar[[#This Row],[Date]],Obs_day,HN),"")</f>
        <v/>
      </c>
      <c r="D35" s="4">
        <f t="shared" si="0"/>
        <v>45012</v>
      </c>
      <c r="E35" s="69"/>
      <c r="F35" s="69"/>
      <c r="G35" s="69"/>
      <c r="H35" s="69"/>
      <c r="I35" s="70"/>
      <c r="J35" s="64" t="str">
        <f>_xlfn.XLOOKUP(Mar[[#This Row],[Date]],Obs_day,Hol,"")</f>
        <v/>
      </c>
      <c r="L35" s="1">
        <v>45012</v>
      </c>
    </row>
    <row r="36" spans="1:12" x14ac:dyDescent="0.25">
      <c r="A36" s="17" t="str">
        <f>IF(Mar[[#This Row],[Date]]="","",UPPER(TEXT(Mar[[#This Row],[Date]],"DDD")))</f>
        <v>TUE</v>
      </c>
      <c r="B36" s="5">
        <f>IF(Mar[[#This Row],[Date]]="","",WEEKDAY(Mar[[#This Row],[Date]],11))</f>
        <v>2</v>
      </c>
      <c r="C36" s="5" t="str" cm="1">
        <f t="array" ref="C36">_xlfn.IFNA(_xlfn.XLOOKUP(Mar[[#This Row],[Date]],Obs_day,HN),"")</f>
        <v/>
      </c>
      <c r="D36" s="4">
        <f t="shared" si="0"/>
        <v>45013</v>
      </c>
      <c r="E36" s="69"/>
      <c r="F36" s="69"/>
      <c r="G36" s="69"/>
      <c r="H36" s="69"/>
      <c r="I36" s="70"/>
      <c r="J36" s="64" t="str">
        <f>_xlfn.XLOOKUP(Mar[[#This Row],[Date]],Obs_day,Hol,"")</f>
        <v/>
      </c>
      <c r="L36" s="1">
        <v>45013</v>
      </c>
    </row>
    <row r="37" spans="1:12" x14ac:dyDescent="0.25">
      <c r="A37" s="17" t="str">
        <f>IF(Mar[[#This Row],[Date]]="","",UPPER(TEXT(Mar[[#This Row],[Date]],"DDD")))</f>
        <v>WED</v>
      </c>
      <c r="B37" s="5">
        <f>IF(Mar[[#This Row],[Date]]="","",WEEKDAY(Mar[[#This Row],[Date]],11))</f>
        <v>3</v>
      </c>
      <c r="C37" s="5" t="str" cm="1">
        <f t="array" ref="C37">_xlfn.IFNA(_xlfn.XLOOKUP(Mar[[#This Row],[Date]],Obs_day,HN),"")</f>
        <v/>
      </c>
      <c r="D37" s="4">
        <f t="shared" si="0"/>
        <v>45014</v>
      </c>
      <c r="E37" s="69"/>
      <c r="F37" s="69"/>
      <c r="G37" s="69"/>
      <c r="H37" s="69"/>
      <c r="I37" s="70"/>
      <c r="J37" s="64" t="str">
        <f>_xlfn.XLOOKUP(Mar[[#This Row],[Date]],Obs_day,Hol,"")</f>
        <v/>
      </c>
      <c r="L37" s="1">
        <v>45014</v>
      </c>
    </row>
    <row r="38" spans="1:12" x14ac:dyDescent="0.25">
      <c r="A38" s="17" t="str">
        <f>IF(Mar[[#This Row],[Date]]="","",UPPER(TEXT(Mar[[#This Row],[Date]],"DDD")))</f>
        <v>THU</v>
      </c>
      <c r="B38" s="5">
        <f>IF(Mar[[#This Row],[Date]]="","",WEEKDAY(Mar[[#This Row],[Date]],11))</f>
        <v>4</v>
      </c>
      <c r="C38" s="5" t="str" cm="1">
        <f t="array" ref="C38">_xlfn.IFNA(_xlfn.XLOOKUP(Mar[[#This Row],[Date]],Obs_day,HN),"")</f>
        <v/>
      </c>
      <c r="D38" s="4">
        <f t="shared" si="0"/>
        <v>45015</v>
      </c>
      <c r="E38" s="69"/>
      <c r="F38" s="69"/>
      <c r="G38" s="69"/>
      <c r="H38" s="69"/>
      <c r="I38" s="70"/>
      <c r="J38" s="64" t="str">
        <f>_xlfn.XLOOKUP(Mar[[#This Row],[Date]],Obs_day,Hol,"")</f>
        <v/>
      </c>
      <c r="L38" s="1">
        <v>45015</v>
      </c>
    </row>
    <row r="39" spans="1:12" x14ac:dyDescent="0.25">
      <c r="A39" s="17" t="str">
        <f>IF(Mar[[#This Row],[Date]]="","",UPPER(TEXT(Mar[[#This Row],[Date]],"DDD")))</f>
        <v>FRI</v>
      </c>
      <c r="B39" s="6">
        <f>IF(Mar[[#This Row],[Date]]="","",WEEKDAY(Mar[[#This Row],[Date]],11))</f>
        <v>5</v>
      </c>
      <c r="C39" s="6" cm="1">
        <f t="array" ref="C39">_xlfn.IFNA(_xlfn.XLOOKUP(Mar[[#This Row],[Date]],Obs_day,HN),"")</f>
        <v>1</v>
      </c>
      <c r="D39" s="4">
        <f t="shared" si="0"/>
        <v>45016</v>
      </c>
      <c r="E39" s="69"/>
      <c r="F39" s="69"/>
      <c r="G39" s="69"/>
      <c r="H39" s="69"/>
      <c r="I39" s="70"/>
      <c r="J39" s="71" t="str">
        <f>_xlfn.XLOOKUP(Mar[[#This Row],[Date]],Obs_day,Hol,"")</f>
        <v>César Chávez Day</v>
      </c>
      <c r="L39" s="1">
        <v>45016</v>
      </c>
    </row>
    <row r="40" spans="1:12" x14ac:dyDescent="0.25">
      <c r="A40" s="30"/>
      <c r="B40" s="31"/>
      <c r="C40" s="31"/>
      <c r="D40" s="32"/>
      <c r="E40" s="34">
        <f>SUBTOTAL(109,Mar[Vacation
Hours])</f>
        <v>0</v>
      </c>
      <c r="F40" s="34">
        <f>SUBTOTAL(109,Mar[Sick
Hours])</f>
        <v>0</v>
      </c>
      <c r="G40" s="34">
        <f>SUBTOTAL(109,Mar[Float.
Hours])</f>
        <v>0</v>
      </c>
      <c r="H40" s="34">
        <f>SUBTOTAL(109,Mar[Other
Hours])</f>
        <v>0</v>
      </c>
      <c r="I40" s="28"/>
      <c r="J40" s="29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38</v>
      </c>
      <c r="B44" s="7"/>
      <c r="C44" s="7"/>
      <c r="D44" s="7"/>
      <c r="E44" s="7"/>
      <c r="F44" s="7"/>
      <c r="G44" s="7" t="s">
        <v>7</v>
      </c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ht="15.75" thickBot="1" x14ac:dyDescent="0.3">
      <c r="A46" s="66"/>
      <c r="B46" s="66"/>
      <c r="C46" s="66"/>
      <c r="D46" s="66"/>
      <c r="E46" s="66"/>
      <c r="F46" s="66"/>
      <c r="G46" s="66"/>
      <c r="H46" s="65"/>
      <c r="I46" s="65"/>
      <c r="J46" s="65"/>
    </row>
    <row r="47" spans="1:12" x14ac:dyDescent="0.25">
      <c r="A47" s="7" t="s">
        <v>39</v>
      </c>
      <c r="G47" s="7" t="s">
        <v>7</v>
      </c>
    </row>
  </sheetData>
  <sheetProtection algorithmName="SHA-512" hashValue="tI/GQuaNRU4J/qTbP5jveyo6QX+opEamYRgmf5rjSpkTD0oAAWDEIDzGPJfyhMKRWgZ7/JNxwGkDz+3vzk4MRg==" saltValue="e3n6QKGnSTJ6JWcaMr8xIw==" spinCount="100000" sheet="1" objects="1" scenarios="1"/>
  <mergeCells count="2">
    <mergeCell ref="D5:F5"/>
    <mergeCell ref="D6:F6"/>
  </mergeCells>
  <conditionalFormatting sqref="E9:J39">
    <cfRule type="expression" dxfId="121" priority="1">
      <formula>$C9=1</formula>
    </cfRule>
    <cfRule type="expression" dxfId="120" priority="2">
      <formula>$B9&gt;5</formula>
    </cfRule>
  </conditionalFormatting>
  <dataValidations count="2">
    <dataValidation type="list" allowBlank="1" showInputMessage="1" showErrorMessage="1" sqref="I9:I39" xr:uid="{24389204-CA5D-4EC8-AE25-35E2490B592D}">
      <formula1>Codes_for_Other</formula1>
    </dataValidation>
    <dataValidation allowBlank="1" showInputMessage="1" showErrorMessage="1" promptTitle="Personal Information Update" prompt="Enter your Name, ID, and Location in the Jan sheet." sqref="D5:F5" xr:uid="{FE724E9A-49D0-44F9-AB5E-F6368826E200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8C98D9-39C9-4309-ADBE-DAF321B972EA}">
  <sheetPr>
    <pageSetUpPr fitToPage="1"/>
  </sheetPr>
  <dimension ref="A1:N46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EOMONTH(Jan!J4,2)+1</f>
        <v>45017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COUNT(Apr[Date])</f>
        <v>30</v>
      </c>
    </row>
    <row r="7" spans="1:14" x14ac:dyDescent="0.25">
      <c r="L7">
        <f>_xlfn.DAYS(EOMONTH(J4,0)+1,J4)</f>
        <v>30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Apr Date</v>
      </c>
    </row>
    <row r="9" spans="1:14" ht="15.75" thickTop="1" x14ac:dyDescent="0.25">
      <c r="A9" s="18" t="str">
        <f>IF(Apr[[#This Row],[Date]]="","",UPPER(TEXT(Apr[[#This Row],[Date]],"DDD")))</f>
        <v>SAT</v>
      </c>
      <c r="B9" s="5">
        <f>IF(Apr[[#This Row],[Date]]="","",WEEKDAY(Apr[[#This Row],[Date]],11))</f>
        <v>6</v>
      </c>
      <c r="C9" s="5" t="str" cm="1">
        <f t="array" ref="C9">_xlfn.IFNA(_xlfn.XLOOKUP(Apr[[#This Row],[Date]],Obs_day,HN),"")</f>
        <v/>
      </c>
      <c r="D9" s="3">
        <f>IF(L9&gt;0,L9,"")</f>
        <v>45017</v>
      </c>
      <c r="E9" s="58"/>
      <c r="F9" s="58"/>
      <c r="G9" s="58"/>
      <c r="H9" s="58"/>
      <c r="I9" s="59"/>
      <c r="J9" s="60" t="str">
        <f>_xlfn.XLOOKUP(Apr[[#This Row],[Date]],Obs_day,Hol,"")</f>
        <v/>
      </c>
      <c r="L9" s="1" cm="1">
        <f t="array" ref="L9:L38">_xlfn.SEQUENCE(L7,1,J4,1)</f>
        <v>45017</v>
      </c>
      <c r="N9" s="41"/>
    </row>
    <row r="10" spans="1:14" x14ac:dyDescent="0.25">
      <c r="A10" s="17" t="str">
        <f>IF(Apr[[#This Row],[Date]]="","",UPPER(TEXT(Apr[[#This Row],[Date]],"DDD")))</f>
        <v>SUN</v>
      </c>
      <c r="B10" s="5">
        <f>IF(Apr[[#This Row],[Date]]="","",WEEKDAY(Apr[[#This Row],[Date]],11))</f>
        <v>7</v>
      </c>
      <c r="C10" s="5" t="str" cm="1">
        <f t="array" ref="C10">_xlfn.IFNA(_xlfn.XLOOKUP(Apr[[#This Row],[Date]],Obs_day,HN),"")</f>
        <v/>
      </c>
      <c r="D10" s="4">
        <f t="shared" ref="D10:D38" si="0">IF(L10&gt;0,L10,"")</f>
        <v>45018</v>
      </c>
      <c r="E10" s="61"/>
      <c r="F10" s="61"/>
      <c r="G10" s="61"/>
      <c r="H10" s="61"/>
      <c r="I10" s="62"/>
      <c r="J10" s="60" t="str">
        <f>_xlfn.XLOOKUP(Apr[[#This Row],[Date]],Obs_day,Hol,"")</f>
        <v/>
      </c>
      <c r="L10" s="1">
        <v>45018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IF(Apr[[#This Row],[Date]]="","",UPPER(TEXT(Apr[[#This Row],[Date]],"DDD")))</f>
        <v>MON</v>
      </c>
      <c r="B11" s="5">
        <f>IF(Apr[[#This Row],[Date]]="","",WEEKDAY(Apr[[#This Row],[Date]],11))</f>
        <v>1</v>
      </c>
      <c r="C11" s="5" t="str" cm="1">
        <f t="array" ref="C11">_xlfn.IFNA(_xlfn.XLOOKUP(Apr[[#This Row],[Date]],Obs_day,HN),"")</f>
        <v/>
      </c>
      <c r="D11" s="4">
        <f t="shared" si="0"/>
        <v>45019</v>
      </c>
      <c r="E11" s="61"/>
      <c r="F11" s="61"/>
      <c r="G11" s="61"/>
      <c r="H11" s="61"/>
      <c r="I11" s="62"/>
      <c r="J11" s="60" t="str">
        <f>_xlfn.XLOOKUP(Apr[[#This Row],[Date]],Obs_day,Hol,"")</f>
        <v/>
      </c>
      <c r="L11" s="1">
        <v>45019</v>
      </c>
    </row>
    <row r="12" spans="1:14" x14ac:dyDescent="0.25">
      <c r="A12" s="17" t="str">
        <f>IF(Apr[[#This Row],[Date]]="","",UPPER(TEXT(Apr[[#This Row],[Date]],"DDD")))</f>
        <v>TUE</v>
      </c>
      <c r="B12" s="5">
        <f>IF(Apr[[#This Row],[Date]]="","",WEEKDAY(Apr[[#This Row],[Date]],11))</f>
        <v>2</v>
      </c>
      <c r="C12" s="5" t="str" cm="1">
        <f t="array" ref="C12">_xlfn.IFNA(_xlfn.XLOOKUP(Apr[[#This Row],[Date]],Obs_day,HN),"")</f>
        <v/>
      </c>
      <c r="D12" s="4">
        <f t="shared" si="0"/>
        <v>45020</v>
      </c>
      <c r="E12" s="61"/>
      <c r="F12" s="61"/>
      <c r="G12" s="61"/>
      <c r="H12" s="61"/>
      <c r="I12" s="62"/>
      <c r="J12" s="60" t="str">
        <f>_xlfn.XLOOKUP(Apr[[#This Row],[Date]],Obs_day,Hol,"")</f>
        <v/>
      </c>
      <c r="L12" s="1">
        <v>45020</v>
      </c>
    </row>
    <row r="13" spans="1:14" x14ac:dyDescent="0.25">
      <c r="A13" s="17" t="str">
        <f>IF(Apr[[#This Row],[Date]]="","",UPPER(TEXT(Apr[[#This Row],[Date]],"DDD")))</f>
        <v>WED</v>
      </c>
      <c r="B13" s="5">
        <f>IF(Apr[[#This Row],[Date]]="","",WEEKDAY(Apr[[#This Row],[Date]],11))</f>
        <v>3</v>
      </c>
      <c r="C13" s="5" t="str" cm="1">
        <f t="array" ref="C13">_xlfn.IFNA(_xlfn.XLOOKUP(Apr[[#This Row],[Date]],Obs_day,HN),"")</f>
        <v/>
      </c>
      <c r="D13" s="4">
        <f t="shared" si="0"/>
        <v>45021</v>
      </c>
      <c r="E13" s="61"/>
      <c r="F13" s="61"/>
      <c r="G13" s="61"/>
      <c r="H13" s="61"/>
      <c r="I13" s="62"/>
      <c r="J13" s="60" t="str">
        <f>_xlfn.XLOOKUP(Apr[[#This Row],[Date]],Obs_day,Hol,"")</f>
        <v/>
      </c>
      <c r="L13" s="1">
        <v>45021</v>
      </c>
    </row>
    <row r="14" spans="1:14" x14ac:dyDescent="0.25">
      <c r="A14" s="17" t="str">
        <f>IF(Apr[[#This Row],[Date]]="","",UPPER(TEXT(Apr[[#This Row],[Date]],"DDD")))</f>
        <v>THU</v>
      </c>
      <c r="B14" s="5">
        <f>IF(Apr[[#This Row],[Date]]="","",WEEKDAY(Apr[[#This Row],[Date]],11))</f>
        <v>4</v>
      </c>
      <c r="C14" s="5" t="str" cm="1">
        <f t="array" ref="C14">_xlfn.IFNA(_xlfn.XLOOKUP(Apr[[#This Row],[Date]],Obs_day,HN),"")</f>
        <v/>
      </c>
      <c r="D14" s="4">
        <f t="shared" si="0"/>
        <v>45022</v>
      </c>
      <c r="E14" s="61"/>
      <c r="F14" s="61"/>
      <c r="G14" s="61"/>
      <c r="H14" s="61"/>
      <c r="I14" s="62"/>
      <c r="J14" s="60" t="str">
        <f>_xlfn.XLOOKUP(Apr[[#This Row],[Date]],Obs_day,Hol,"")</f>
        <v/>
      </c>
      <c r="L14" s="1">
        <v>45022</v>
      </c>
    </row>
    <row r="15" spans="1:14" x14ac:dyDescent="0.25">
      <c r="A15" s="17" t="str">
        <f>IF(Apr[[#This Row],[Date]]="","",UPPER(TEXT(Apr[[#This Row],[Date]],"DDD")))</f>
        <v>FRI</v>
      </c>
      <c r="B15" s="5">
        <f>IF(Apr[[#This Row],[Date]]="","",WEEKDAY(Apr[[#This Row],[Date]],11))</f>
        <v>5</v>
      </c>
      <c r="C15" s="5" t="str" cm="1">
        <f t="array" ref="C15">_xlfn.IFNA(_xlfn.XLOOKUP(Apr[[#This Row],[Date]],Obs_day,HN),"")</f>
        <v/>
      </c>
      <c r="D15" s="4">
        <f t="shared" si="0"/>
        <v>45023</v>
      </c>
      <c r="E15" s="61"/>
      <c r="F15" s="61"/>
      <c r="G15" s="61"/>
      <c r="H15" s="61"/>
      <c r="I15" s="62"/>
      <c r="J15" s="60" t="str">
        <f>_xlfn.XLOOKUP(Apr[[#This Row],[Date]],Obs_day,Hol,"")</f>
        <v/>
      </c>
      <c r="L15" s="1">
        <v>45023</v>
      </c>
    </row>
    <row r="16" spans="1:14" x14ac:dyDescent="0.25">
      <c r="A16" s="17" t="str">
        <f>IF(Apr[[#This Row],[Date]]="","",UPPER(TEXT(Apr[[#This Row],[Date]],"DDD")))</f>
        <v>SAT</v>
      </c>
      <c r="B16" s="5">
        <f>IF(Apr[[#This Row],[Date]]="","",WEEKDAY(Apr[[#This Row],[Date]],11))</f>
        <v>6</v>
      </c>
      <c r="C16" s="5" t="str" cm="1">
        <f t="array" ref="C16">_xlfn.IFNA(_xlfn.XLOOKUP(Apr[[#This Row],[Date]],Obs_day,HN),"")</f>
        <v/>
      </c>
      <c r="D16" s="4">
        <f t="shared" si="0"/>
        <v>45024</v>
      </c>
      <c r="E16" s="61"/>
      <c r="F16" s="61"/>
      <c r="G16" s="61"/>
      <c r="H16" s="61"/>
      <c r="I16" s="62"/>
      <c r="J16" s="60" t="str">
        <f>_xlfn.XLOOKUP(Apr[[#This Row],[Date]],Obs_day,Hol,"")</f>
        <v/>
      </c>
      <c r="L16" s="1">
        <v>45024</v>
      </c>
    </row>
    <row r="17" spans="1:12" x14ac:dyDescent="0.25">
      <c r="A17" s="17" t="str">
        <f>IF(Apr[[#This Row],[Date]]="","",UPPER(TEXT(Apr[[#This Row],[Date]],"DDD")))</f>
        <v>SUN</v>
      </c>
      <c r="B17" s="5">
        <f>IF(Apr[[#This Row],[Date]]="","",WEEKDAY(Apr[[#This Row],[Date]],11))</f>
        <v>7</v>
      </c>
      <c r="C17" s="5" t="str" cm="1">
        <f t="array" ref="C17">_xlfn.IFNA(_xlfn.XLOOKUP(Apr[[#This Row],[Date]],Obs_day,HN),"")</f>
        <v/>
      </c>
      <c r="D17" s="4">
        <f t="shared" si="0"/>
        <v>45025</v>
      </c>
      <c r="E17" s="61"/>
      <c r="F17" s="61"/>
      <c r="G17" s="61"/>
      <c r="H17" s="61"/>
      <c r="I17" s="62"/>
      <c r="J17" s="60" t="str">
        <f>_xlfn.XLOOKUP(Apr[[#This Row],[Date]],Obs_day,Hol,"")</f>
        <v/>
      </c>
      <c r="L17" s="1">
        <v>45025</v>
      </c>
    </row>
    <row r="18" spans="1:12" x14ac:dyDescent="0.25">
      <c r="A18" s="17" t="str">
        <f>IF(Apr[[#This Row],[Date]]="","",UPPER(TEXT(Apr[[#This Row],[Date]],"DDD")))</f>
        <v>MON</v>
      </c>
      <c r="B18" s="5">
        <f>IF(Apr[[#This Row],[Date]]="","",WEEKDAY(Apr[[#This Row],[Date]],11))</f>
        <v>1</v>
      </c>
      <c r="C18" s="5" t="str" cm="1">
        <f t="array" ref="C18">_xlfn.IFNA(_xlfn.XLOOKUP(Apr[[#This Row],[Date]],Obs_day,HN),"")</f>
        <v/>
      </c>
      <c r="D18" s="4">
        <f t="shared" si="0"/>
        <v>45026</v>
      </c>
      <c r="E18" s="61"/>
      <c r="F18" s="61"/>
      <c r="G18" s="61"/>
      <c r="H18" s="61"/>
      <c r="I18" s="62"/>
      <c r="J18" s="60" t="str">
        <f>_xlfn.XLOOKUP(Apr[[#This Row],[Date]],Obs_day,Hol,"")</f>
        <v/>
      </c>
      <c r="L18" s="1">
        <v>45026</v>
      </c>
    </row>
    <row r="19" spans="1:12" x14ac:dyDescent="0.25">
      <c r="A19" s="17" t="str">
        <f>IF(Apr[[#This Row],[Date]]="","",UPPER(TEXT(Apr[[#This Row],[Date]],"DDD")))</f>
        <v>TUE</v>
      </c>
      <c r="B19" s="5">
        <f>IF(Apr[[#This Row],[Date]]="","",WEEKDAY(Apr[[#This Row],[Date]],11))</f>
        <v>2</v>
      </c>
      <c r="C19" s="5" t="str" cm="1">
        <f t="array" ref="C19">_xlfn.IFNA(_xlfn.XLOOKUP(Apr[[#This Row],[Date]],Obs_day,HN),"")</f>
        <v/>
      </c>
      <c r="D19" s="4">
        <f t="shared" si="0"/>
        <v>45027</v>
      </c>
      <c r="E19" s="61"/>
      <c r="F19" s="61"/>
      <c r="G19" s="61"/>
      <c r="H19" s="61"/>
      <c r="I19" s="62"/>
      <c r="J19" s="60" t="str">
        <f>_xlfn.XLOOKUP(Apr[[#This Row],[Date]],Obs_day,Hol,"")</f>
        <v/>
      </c>
      <c r="L19" s="1">
        <v>45027</v>
      </c>
    </row>
    <row r="20" spans="1:12" x14ac:dyDescent="0.25">
      <c r="A20" s="17" t="str">
        <f>IF(Apr[[#This Row],[Date]]="","",UPPER(TEXT(Apr[[#This Row],[Date]],"DDD")))</f>
        <v>WED</v>
      </c>
      <c r="B20" s="5">
        <f>IF(Apr[[#This Row],[Date]]="","",WEEKDAY(Apr[[#This Row],[Date]],11))</f>
        <v>3</v>
      </c>
      <c r="C20" s="5" t="str" cm="1">
        <f t="array" ref="C20">_xlfn.IFNA(_xlfn.XLOOKUP(Apr[[#This Row],[Date]],Obs_day,HN),"")</f>
        <v/>
      </c>
      <c r="D20" s="4">
        <f t="shared" si="0"/>
        <v>45028</v>
      </c>
      <c r="E20" s="61"/>
      <c r="F20" s="61"/>
      <c r="G20" s="61"/>
      <c r="H20" s="61"/>
      <c r="I20" s="62"/>
      <c r="J20" s="60" t="str">
        <f>_xlfn.XLOOKUP(Apr[[#This Row],[Date]],Obs_day,Hol,"")</f>
        <v/>
      </c>
      <c r="L20" s="1">
        <v>45028</v>
      </c>
    </row>
    <row r="21" spans="1:12" x14ac:dyDescent="0.25">
      <c r="A21" s="17" t="str">
        <f>IF(Apr[[#This Row],[Date]]="","",UPPER(TEXT(Apr[[#This Row],[Date]],"DDD")))</f>
        <v>THU</v>
      </c>
      <c r="B21" s="5">
        <f>IF(Apr[[#This Row],[Date]]="","",WEEKDAY(Apr[[#This Row],[Date]],11))</f>
        <v>4</v>
      </c>
      <c r="C21" s="5" t="str" cm="1">
        <f t="array" ref="C21">_xlfn.IFNA(_xlfn.XLOOKUP(Apr[[#This Row],[Date]],Obs_day,HN),"")</f>
        <v/>
      </c>
      <c r="D21" s="4">
        <f t="shared" si="0"/>
        <v>45029</v>
      </c>
      <c r="E21" s="61"/>
      <c r="F21" s="61"/>
      <c r="G21" s="61"/>
      <c r="H21" s="61"/>
      <c r="I21" s="62"/>
      <c r="J21" s="60" t="str">
        <f>_xlfn.XLOOKUP(Apr[[#This Row],[Date]],Obs_day,Hol,"")</f>
        <v/>
      </c>
      <c r="L21" s="1">
        <v>45029</v>
      </c>
    </row>
    <row r="22" spans="1:12" x14ac:dyDescent="0.25">
      <c r="A22" s="17" t="str">
        <f>IF(Apr[[#This Row],[Date]]="","",UPPER(TEXT(Apr[[#This Row],[Date]],"DDD")))</f>
        <v>FRI</v>
      </c>
      <c r="B22" s="5">
        <f>IF(Apr[[#This Row],[Date]]="","",WEEKDAY(Apr[[#This Row],[Date]],11))</f>
        <v>5</v>
      </c>
      <c r="C22" s="5" t="str" cm="1">
        <f t="array" ref="C22">_xlfn.IFNA(_xlfn.XLOOKUP(Apr[[#This Row],[Date]],Obs_day,HN),"")</f>
        <v/>
      </c>
      <c r="D22" s="4">
        <f t="shared" si="0"/>
        <v>45030</v>
      </c>
      <c r="E22" s="61"/>
      <c r="F22" s="61"/>
      <c r="G22" s="61"/>
      <c r="H22" s="61"/>
      <c r="I22" s="62"/>
      <c r="J22" s="60" t="str">
        <f>_xlfn.XLOOKUP(Apr[[#This Row],[Date]],Obs_day,Hol,"")</f>
        <v/>
      </c>
      <c r="L22" s="1">
        <v>45030</v>
      </c>
    </row>
    <row r="23" spans="1:12" x14ac:dyDescent="0.25">
      <c r="A23" s="17" t="str">
        <f>IF(Apr[[#This Row],[Date]]="","",UPPER(TEXT(Apr[[#This Row],[Date]],"DDD")))</f>
        <v>SAT</v>
      </c>
      <c r="B23" s="5">
        <f>IF(Apr[[#This Row],[Date]]="","",WEEKDAY(Apr[[#This Row],[Date]],11))</f>
        <v>6</v>
      </c>
      <c r="C23" s="5" t="str" cm="1">
        <f t="array" ref="C23">_xlfn.IFNA(_xlfn.XLOOKUP(Apr[[#This Row],[Date]],Obs_day,HN),"")</f>
        <v/>
      </c>
      <c r="D23" s="4">
        <f t="shared" si="0"/>
        <v>45031</v>
      </c>
      <c r="E23" s="61"/>
      <c r="F23" s="61"/>
      <c r="G23" s="61"/>
      <c r="H23" s="61"/>
      <c r="I23" s="62"/>
      <c r="J23" s="60" t="str">
        <f>_xlfn.XLOOKUP(Apr[[#This Row],[Date]],Obs_day,Hol,"")</f>
        <v/>
      </c>
      <c r="L23" s="1">
        <v>45031</v>
      </c>
    </row>
    <row r="24" spans="1:12" x14ac:dyDescent="0.25">
      <c r="A24" s="17" t="str">
        <f>IF(Apr[[#This Row],[Date]]="","",UPPER(TEXT(Apr[[#This Row],[Date]],"DDD")))</f>
        <v>SUN</v>
      </c>
      <c r="B24" s="5">
        <f>IF(Apr[[#This Row],[Date]]="","",WEEKDAY(Apr[[#This Row],[Date]],11))</f>
        <v>7</v>
      </c>
      <c r="C24" s="5" t="str" cm="1">
        <f t="array" ref="C24">_xlfn.IFNA(_xlfn.XLOOKUP(Apr[[#This Row],[Date]],Obs_day,HN),"")</f>
        <v/>
      </c>
      <c r="D24" s="4">
        <f t="shared" si="0"/>
        <v>45032</v>
      </c>
      <c r="E24" s="61"/>
      <c r="F24" s="61"/>
      <c r="G24" s="61"/>
      <c r="H24" s="61"/>
      <c r="I24" s="62"/>
      <c r="J24" s="60" t="str">
        <f>_xlfn.XLOOKUP(Apr[[#This Row],[Date]],Obs_day,Hol,"")</f>
        <v/>
      </c>
      <c r="L24" s="1">
        <v>45032</v>
      </c>
    </row>
    <row r="25" spans="1:12" x14ac:dyDescent="0.25">
      <c r="A25" s="17" t="str">
        <f>IF(Apr[[#This Row],[Date]]="","",UPPER(TEXT(Apr[[#This Row],[Date]],"DDD")))</f>
        <v>MON</v>
      </c>
      <c r="B25" s="5">
        <f>IF(Apr[[#This Row],[Date]]="","",WEEKDAY(Apr[[#This Row],[Date]],11))</f>
        <v>1</v>
      </c>
      <c r="C25" s="5" t="str" cm="1">
        <f t="array" ref="C25">_xlfn.IFNA(_xlfn.XLOOKUP(Apr[[#This Row],[Date]],Obs_day,HN),"")</f>
        <v/>
      </c>
      <c r="D25" s="4">
        <f t="shared" si="0"/>
        <v>45033</v>
      </c>
      <c r="E25" s="61"/>
      <c r="F25" s="61"/>
      <c r="G25" s="61"/>
      <c r="H25" s="61"/>
      <c r="I25" s="62"/>
      <c r="J25" s="60" t="str">
        <f>_xlfn.XLOOKUP(Apr[[#This Row],[Date]],Obs_day,Hol,"")</f>
        <v/>
      </c>
      <c r="L25" s="1">
        <v>45033</v>
      </c>
    </row>
    <row r="26" spans="1:12" x14ac:dyDescent="0.25">
      <c r="A26" s="17" t="str">
        <f>IF(Apr[[#This Row],[Date]]="","",UPPER(TEXT(Apr[[#This Row],[Date]],"DDD")))</f>
        <v>TUE</v>
      </c>
      <c r="B26" s="5">
        <f>IF(Apr[[#This Row],[Date]]="","",WEEKDAY(Apr[[#This Row],[Date]],11))</f>
        <v>2</v>
      </c>
      <c r="C26" s="5" t="str" cm="1">
        <f t="array" ref="C26">_xlfn.IFNA(_xlfn.XLOOKUP(Apr[[#This Row],[Date]],Obs_day,HN),"")</f>
        <v/>
      </c>
      <c r="D26" s="4">
        <f t="shared" si="0"/>
        <v>45034</v>
      </c>
      <c r="E26" s="61"/>
      <c r="F26" s="61"/>
      <c r="G26" s="61"/>
      <c r="H26" s="61"/>
      <c r="I26" s="62"/>
      <c r="J26" s="60" t="str">
        <f>_xlfn.XLOOKUP(Apr[[#This Row],[Date]],Obs_day,Hol,"")</f>
        <v/>
      </c>
      <c r="L26" s="1">
        <v>45034</v>
      </c>
    </row>
    <row r="27" spans="1:12" x14ac:dyDescent="0.25">
      <c r="A27" s="17" t="str">
        <f>IF(Apr[[#This Row],[Date]]="","",UPPER(TEXT(Apr[[#This Row],[Date]],"DDD")))</f>
        <v>WED</v>
      </c>
      <c r="B27" s="5">
        <f>IF(Apr[[#This Row],[Date]]="","",WEEKDAY(Apr[[#This Row],[Date]],11))</f>
        <v>3</v>
      </c>
      <c r="C27" s="5" t="str" cm="1">
        <f t="array" ref="C27">_xlfn.IFNA(_xlfn.XLOOKUP(Apr[[#This Row],[Date]],Obs_day,HN),"")</f>
        <v/>
      </c>
      <c r="D27" s="4">
        <f t="shared" si="0"/>
        <v>45035</v>
      </c>
      <c r="E27" s="61"/>
      <c r="F27" s="61"/>
      <c r="G27" s="61"/>
      <c r="H27" s="61"/>
      <c r="I27" s="62"/>
      <c r="J27" s="60" t="str">
        <f>_xlfn.XLOOKUP(Apr[[#This Row],[Date]],Obs_day,Hol,"")</f>
        <v/>
      </c>
      <c r="L27" s="1">
        <v>45035</v>
      </c>
    </row>
    <row r="28" spans="1:12" x14ac:dyDescent="0.25">
      <c r="A28" s="17" t="str">
        <f>IF(Apr[[#This Row],[Date]]="","",UPPER(TEXT(Apr[[#This Row],[Date]],"DDD")))</f>
        <v>THU</v>
      </c>
      <c r="B28" s="5">
        <f>IF(Apr[[#This Row],[Date]]="","",WEEKDAY(Apr[[#This Row],[Date]],11))</f>
        <v>4</v>
      </c>
      <c r="C28" s="5" t="str" cm="1">
        <f t="array" ref="C28">_xlfn.IFNA(_xlfn.XLOOKUP(Apr[[#This Row],[Date]],Obs_day,HN),"")</f>
        <v/>
      </c>
      <c r="D28" s="4">
        <f t="shared" si="0"/>
        <v>45036</v>
      </c>
      <c r="E28" s="61"/>
      <c r="F28" s="61"/>
      <c r="G28" s="61"/>
      <c r="H28" s="61"/>
      <c r="I28" s="62"/>
      <c r="J28" s="60" t="str">
        <f>_xlfn.XLOOKUP(Apr[[#This Row],[Date]],Obs_day,Hol,"")</f>
        <v/>
      </c>
      <c r="L28" s="1">
        <v>45036</v>
      </c>
    </row>
    <row r="29" spans="1:12" x14ac:dyDescent="0.25">
      <c r="A29" s="17" t="str">
        <f>IF(Apr[[#This Row],[Date]]="","",UPPER(TEXT(Apr[[#This Row],[Date]],"DDD")))</f>
        <v>FRI</v>
      </c>
      <c r="B29" s="5">
        <f>IF(Apr[[#This Row],[Date]]="","",WEEKDAY(Apr[[#This Row],[Date]],11))</f>
        <v>5</v>
      </c>
      <c r="C29" s="5" t="str" cm="1">
        <f t="array" ref="C29">_xlfn.IFNA(_xlfn.XLOOKUP(Apr[[#This Row],[Date]],Obs_day,HN),"")</f>
        <v/>
      </c>
      <c r="D29" s="4">
        <f t="shared" si="0"/>
        <v>45037</v>
      </c>
      <c r="E29" s="61"/>
      <c r="F29" s="61"/>
      <c r="G29" s="61"/>
      <c r="H29" s="61"/>
      <c r="I29" s="62"/>
      <c r="J29" s="60" t="str">
        <f>_xlfn.XLOOKUP(Apr[[#This Row],[Date]],Obs_day,Hol,"")</f>
        <v/>
      </c>
      <c r="L29" s="1">
        <v>45037</v>
      </c>
    </row>
    <row r="30" spans="1:12" x14ac:dyDescent="0.25">
      <c r="A30" s="17" t="str">
        <f>IF(Apr[[#This Row],[Date]]="","",UPPER(TEXT(Apr[[#This Row],[Date]],"DDD")))</f>
        <v>SAT</v>
      </c>
      <c r="B30" s="5">
        <f>IF(Apr[[#This Row],[Date]]="","",WEEKDAY(Apr[[#This Row],[Date]],11))</f>
        <v>6</v>
      </c>
      <c r="C30" s="5" t="str" cm="1">
        <f t="array" ref="C30">_xlfn.IFNA(_xlfn.XLOOKUP(Apr[[#This Row],[Date]],Obs_day,HN),"")</f>
        <v/>
      </c>
      <c r="D30" s="4">
        <f t="shared" si="0"/>
        <v>45038</v>
      </c>
      <c r="E30" s="61"/>
      <c r="F30" s="61"/>
      <c r="G30" s="61"/>
      <c r="H30" s="61"/>
      <c r="I30" s="62"/>
      <c r="J30" s="60" t="str">
        <f>_xlfn.XLOOKUP(Apr[[#This Row],[Date]],Obs_day,Hol,"")</f>
        <v/>
      </c>
      <c r="L30" s="1">
        <v>45038</v>
      </c>
    </row>
    <row r="31" spans="1:12" x14ac:dyDescent="0.25">
      <c r="A31" s="17" t="str">
        <f>IF(Apr[[#This Row],[Date]]="","",UPPER(TEXT(Apr[[#This Row],[Date]],"DDD")))</f>
        <v>SUN</v>
      </c>
      <c r="B31" s="5">
        <f>IF(Apr[[#This Row],[Date]]="","",WEEKDAY(Apr[[#This Row],[Date]],11))</f>
        <v>7</v>
      </c>
      <c r="C31" s="5" t="str" cm="1">
        <f t="array" ref="C31">_xlfn.IFNA(_xlfn.XLOOKUP(Apr[[#This Row],[Date]],Obs_day,HN),"")</f>
        <v/>
      </c>
      <c r="D31" s="4">
        <f t="shared" si="0"/>
        <v>45039</v>
      </c>
      <c r="E31" s="61"/>
      <c r="F31" s="61"/>
      <c r="G31" s="61"/>
      <c r="H31" s="61"/>
      <c r="I31" s="62"/>
      <c r="J31" s="60" t="str">
        <f>_xlfn.XLOOKUP(Apr[[#This Row],[Date]],Obs_day,Hol,"")</f>
        <v/>
      </c>
      <c r="L31" s="1">
        <v>45039</v>
      </c>
    </row>
    <row r="32" spans="1:12" x14ac:dyDescent="0.25">
      <c r="A32" s="17" t="str">
        <f>IF(Apr[[#This Row],[Date]]="","",UPPER(TEXT(Apr[[#This Row],[Date]],"DDD")))</f>
        <v>MON</v>
      </c>
      <c r="B32" s="5">
        <f>IF(Apr[[#This Row],[Date]]="","",WEEKDAY(Apr[[#This Row],[Date]],11))</f>
        <v>1</v>
      </c>
      <c r="C32" s="5" t="str" cm="1">
        <f t="array" ref="C32">_xlfn.IFNA(_xlfn.XLOOKUP(Apr[[#This Row],[Date]],Obs_day,HN),"")</f>
        <v/>
      </c>
      <c r="D32" s="4">
        <f t="shared" si="0"/>
        <v>45040</v>
      </c>
      <c r="E32" s="61"/>
      <c r="F32" s="61"/>
      <c r="G32" s="61"/>
      <c r="H32" s="61"/>
      <c r="I32" s="62"/>
      <c r="J32" s="60" t="str">
        <f>_xlfn.XLOOKUP(Apr[[#This Row],[Date]],Obs_day,Hol,"")</f>
        <v/>
      </c>
      <c r="L32" s="1">
        <v>45040</v>
      </c>
    </row>
    <row r="33" spans="1:12" x14ac:dyDescent="0.25">
      <c r="A33" s="17" t="str">
        <f>IF(Apr[[#This Row],[Date]]="","",UPPER(TEXT(Apr[[#This Row],[Date]],"DDD")))</f>
        <v>TUE</v>
      </c>
      <c r="B33" s="5">
        <f>IF(Apr[[#This Row],[Date]]="","",WEEKDAY(Apr[[#This Row],[Date]],11))</f>
        <v>2</v>
      </c>
      <c r="C33" s="5" t="str" cm="1">
        <f t="array" ref="C33">_xlfn.IFNA(_xlfn.XLOOKUP(Apr[[#This Row],[Date]],Obs_day,HN),"")</f>
        <v/>
      </c>
      <c r="D33" s="4">
        <f t="shared" si="0"/>
        <v>45041</v>
      </c>
      <c r="E33" s="61"/>
      <c r="F33" s="61"/>
      <c r="G33" s="61"/>
      <c r="H33" s="61"/>
      <c r="I33" s="62"/>
      <c r="J33" s="60" t="str">
        <f>_xlfn.XLOOKUP(Apr[[#This Row],[Date]],Obs_day,Hol,"")</f>
        <v/>
      </c>
      <c r="L33" s="1">
        <v>45041</v>
      </c>
    </row>
    <row r="34" spans="1:12" x14ac:dyDescent="0.25">
      <c r="A34" s="17" t="str">
        <f>IF(Apr[[#This Row],[Date]]="","",UPPER(TEXT(Apr[[#This Row],[Date]],"DDD")))</f>
        <v>WED</v>
      </c>
      <c r="B34" s="5">
        <f>IF(Apr[[#This Row],[Date]]="","",WEEKDAY(Apr[[#This Row],[Date]],11))</f>
        <v>3</v>
      </c>
      <c r="C34" s="5" t="str" cm="1">
        <f t="array" ref="C34">_xlfn.IFNA(_xlfn.XLOOKUP(Apr[[#This Row],[Date]],Obs_day,HN),"")</f>
        <v/>
      </c>
      <c r="D34" s="4">
        <f t="shared" si="0"/>
        <v>45042</v>
      </c>
      <c r="E34" s="61"/>
      <c r="F34" s="61"/>
      <c r="G34" s="61"/>
      <c r="H34" s="61"/>
      <c r="I34" s="62"/>
      <c r="J34" s="60" t="str">
        <f>_xlfn.XLOOKUP(Apr[[#This Row],[Date]],Obs_day,Hol,"")</f>
        <v/>
      </c>
      <c r="L34" s="1">
        <v>45042</v>
      </c>
    </row>
    <row r="35" spans="1:12" x14ac:dyDescent="0.25">
      <c r="A35" s="17" t="str">
        <f>IF(Apr[[#This Row],[Date]]="","",UPPER(TEXT(Apr[[#This Row],[Date]],"DDD")))</f>
        <v>THU</v>
      </c>
      <c r="B35" s="5">
        <f>IF(Apr[[#This Row],[Date]]="","",WEEKDAY(Apr[[#This Row],[Date]],11))</f>
        <v>4</v>
      </c>
      <c r="C35" s="5" t="str" cm="1">
        <f t="array" ref="C35">_xlfn.IFNA(_xlfn.XLOOKUP(Apr[[#This Row],[Date]],Obs_day,HN),"")</f>
        <v/>
      </c>
      <c r="D35" s="4">
        <f t="shared" si="0"/>
        <v>45043</v>
      </c>
      <c r="E35" s="61"/>
      <c r="F35" s="61"/>
      <c r="G35" s="61"/>
      <c r="H35" s="61"/>
      <c r="I35" s="62"/>
      <c r="J35" s="60" t="str">
        <f>_xlfn.XLOOKUP(Apr[[#This Row],[Date]],Obs_day,Hol,"")</f>
        <v/>
      </c>
      <c r="L35" s="1">
        <v>45043</v>
      </c>
    </row>
    <row r="36" spans="1:12" x14ac:dyDescent="0.25">
      <c r="A36" s="17" t="str">
        <f>IF(Apr[[#This Row],[Date]]="","",UPPER(TEXT(Apr[[#This Row],[Date]],"DDD")))</f>
        <v>FRI</v>
      </c>
      <c r="B36" s="5">
        <f>IF(Apr[[#This Row],[Date]]="","",WEEKDAY(Apr[[#This Row],[Date]],11))</f>
        <v>5</v>
      </c>
      <c r="C36" s="5" t="str" cm="1">
        <f t="array" ref="C36">_xlfn.IFNA(_xlfn.XLOOKUP(Apr[[#This Row],[Date]],Obs_day,HN),"")</f>
        <v/>
      </c>
      <c r="D36" s="4">
        <f t="shared" si="0"/>
        <v>45044</v>
      </c>
      <c r="E36" s="61"/>
      <c r="F36" s="61"/>
      <c r="G36" s="61"/>
      <c r="H36" s="61"/>
      <c r="I36" s="62"/>
      <c r="J36" s="60" t="str">
        <f>_xlfn.XLOOKUP(Apr[[#This Row],[Date]],Obs_day,Hol,"")</f>
        <v/>
      </c>
      <c r="L36" s="1">
        <v>45044</v>
      </c>
    </row>
    <row r="37" spans="1:12" x14ac:dyDescent="0.25">
      <c r="A37" s="17" t="str">
        <f>IF(Apr[[#This Row],[Date]]="","",UPPER(TEXT(Apr[[#This Row],[Date]],"DDD")))</f>
        <v>SAT</v>
      </c>
      <c r="B37" s="5">
        <f>IF(Apr[[#This Row],[Date]]="","",WEEKDAY(Apr[[#This Row],[Date]],11))</f>
        <v>6</v>
      </c>
      <c r="C37" s="5" t="str" cm="1">
        <f t="array" ref="C37">_xlfn.IFNA(_xlfn.XLOOKUP(Apr[[#This Row],[Date]],Obs_day,HN),"")</f>
        <v/>
      </c>
      <c r="D37" s="4">
        <f t="shared" si="0"/>
        <v>45045</v>
      </c>
      <c r="E37" s="61"/>
      <c r="F37" s="61"/>
      <c r="G37" s="61"/>
      <c r="H37" s="61"/>
      <c r="I37" s="62"/>
      <c r="J37" s="60" t="str">
        <f>_xlfn.XLOOKUP(Apr[[#This Row],[Date]],Obs_day,Hol,"")</f>
        <v/>
      </c>
      <c r="L37" s="1">
        <v>45045</v>
      </c>
    </row>
    <row r="38" spans="1:12" x14ac:dyDescent="0.25">
      <c r="A38" s="17" t="str">
        <f>IF(Apr[[#This Row],[Date]]="","",UPPER(TEXT(Apr[[#This Row],[Date]],"DDD")))</f>
        <v>SUN</v>
      </c>
      <c r="B38" s="5">
        <f>IF(Apr[[#This Row],[Date]]="","",WEEKDAY(Apr[[#This Row],[Date]],11))</f>
        <v>7</v>
      </c>
      <c r="C38" s="5" t="str" cm="1">
        <f t="array" ref="C38">_xlfn.IFNA(_xlfn.XLOOKUP(Apr[[#This Row],[Date]],Obs_day,HN),"")</f>
        <v/>
      </c>
      <c r="D38" s="4">
        <f t="shared" si="0"/>
        <v>45046</v>
      </c>
      <c r="E38" s="61"/>
      <c r="F38" s="61"/>
      <c r="G38" s="61"/>
      <c r="H38" s="61"/>
      <c r="I38" s="62"/>
      <c r="J38" s="60" t="str">
        <f>_xlfn.XLOOKUP(Apr[[#This Row],[Date]],Obs_day,Hol,"")</f>
        <v/>
      </c>
      <c r="L38" s="1">
        <v>45046</v>
      </c>
    </row>
    <row r="39" spans="1:12" x14ac:dyDescent="0.25">
      <c r="A39" s="30"/>
      <c r="B39" s="31"/>
      <c r="C39" s="31"/>
      <c r="D39" s="32"/>
      <c r="E39" s="34">
        <f>SUBTOTAL(109,Apr[Vacation
Hours])</f>
        <v>0</v>
      </c>
      <c r="F39" s="34">
        <f>SUBTOTAL(109,Apr[Sick
Hours])</f>
        <v>0</v>
      </c>
      <c r="G39" s="34">
        <f>SUBTOTAL(109,Apr[Float.
Hours])</f>
        <v>0</v>
      </c>
      <c r="H39" s="34">
        <f>SUBTOTAL(109,Apr[Other
Hours])</f>
        <v>0</v>
      </c>
      <c r="I39" s="28"/>
      <c r="J39" s="29"/>
      <c r="L39" s="1"/>
    </row>
    <row r="40" spans="1:12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ht="15.75" thickBot="1" x14ac:dyDescent="0.3">
      <c r="A42" s="66"/>
      <c r="B42" s="66"/>
      <c r="C42" s="66"/>
      <c r="D42" s="66"/>
      <c r="E42" s="66"/>
      <c r="F42" s="66"/>
      <c r="G42" s="66"/>
      <c r="H42" s="65"/>
      <c r="I42" s="65"/>
      <c r="J42" s="65"/>
    </row>
    <row r="43" spans="1:12" x14ac:dyDescent="0.25">
      <c r="A43" s="7" t="s">
        <v>38</v>
      </c>
      <c r="B43" s="7"/>
      <c r="C43" s="7"/>
      <c r="D43" s="7"/>
      <c r="E43" s="7"/>
      <c r="F43" s="7"/>
      <c r="G43" s="7" t="s">
        <v>7</v>
      </c>
    </row>
    <row r="44" spans="1:12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2" ht="15.75" thickBot="1" x14ac:dyDescent="0.3">
      <c r="A45" s="66"/>
      <c r="B45" s="66"/>
      <c r="C45" s="66"/>
      <c r="D45" s="66"/>
      <c r="E45" s="66"/>
      <c r="F45" s="66"/>
      <c r="G45" s="66"/>
      <c r="H45" s="65"/>
      <c r="I45" s="65"/>
      <c r="J45" s="65"/>
    </row>
    <row r="46" spans="1:12" x14ac:dyDescent="0.25">
      <c r="A46" s="7" t="s">
        <v>39</v>
      </c>
      <c r="G46" s="7" t="s">
        <v>7</v>
      </c>
    </row>
  </sheetData>
  <sheetProtection algorithmName="SHA-512" hashValue="T3kZLL0Ggx5/sUBv9iBT0bLQYeF3k3VByl+6/DpFugMFypuWNM1UQuPhp8Pj/Oz5worg2d3mue5BG8Sj6YppxQ==" saltValue="agOsfdyAYFcbRurAc9f8dQ==" spinCount="100000" sheet="1" objects="1" scenarios="1"/>
  <mergeCells count="2">
    <mergeCell ref="D5:F5"/>
    <mergeCell ref="D6:F6"/>
  </mergeCells>
  <conditionalFormatting sqref="E9:J38">
    <cfRule type="expression" dxfId="119" priority="1">
      <formula>$C9=1</formula>
    </cfRule>
    <cfRule type="expression" dxfId="118" priority="2">
      <formula>$B9&gt;5</formula>
    </cfRule>
  </conditionalFormatting>
  <dataValidations count="2">
    <dataValidation type="list" allowBlank="1" showInputMessage="1" showErrorMessage="1" sqref="I9:I38" xr:uid="{BEF94F84-69AA-4877-A5D7-B30842A726DE}">
      <formula1>Codes_for_Other</formula1>
    </dataValidation>
    <dataValidation allowBlank="1" showInputMessage="1" showErrorMessage="1" promptTitle="Personal Information Update" prompt="Enter your Name, ID, and Location in the Jan sheet." sqref="D5:F5" xr:uid="{8E4E5194-4E7D-4B02-AB18-F08190A454C9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F2891-3846-4AEE-A906-2A17DADF605A}">
  <sheetPr>
    <pageSetUpPr fitToPage="1"/>
  </sheetPr>
  <dimension ref="A1:N47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EOMONTH(Jan!J4,3)+1</f>
        <v>45047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COUNT(may[Date])</f>
        <v>31</v>
      </c>
    </row>
    <row r="7" spans="1:14" x14ac:dyDescent="0.25">
      <c r="L7">
        <f>_xlfn.DAYS(EOMONTH(J4,0)+1,J4)</f>
        <v>31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May Date</v>
      </c>
    </row>
    <row r="9" spans="1:14" ht="15.75" thickTop="1" x14ac:dyDescent="0.25">
      <c r="A9" s="18" t="str">
        <f>IF(may[[#This Row],[Date]]="","",UPPER(TEXT(may[[#This Row],[Date]],"DDD")))</f>
        <v>MON</v>
      </c>
      <c r="B9" s="5">
        <f>IF(may[[#This Row],[Date]]="","",WEEKDAY(may[[#This Row],[Date]],11))</f>
        <v>1</v>
      </c>
      <c r="C9" s="5" t="str" cm="1">
        <f t="array" ref="C9">_xlfn.IFNA(_xlfn.XLOOKUP(may[[#This Row],[Date]],Obs_day,HN),"")</f>
        <v/>
      </c>
      <c r="D9" s="3">
        <f>IF(L9&gt;0,L9,"")</f>
        <v>45047</v>
      </c>
      <c r="E9" s="58"/>
      <c r="F9" s="58"/>
      <c r="G9" s="58"/>
      <c r="H9" s="58"/>
      <c r="I9" s="59"/>
      <c r="J9" s="60" t="str">
        <f>_xlfn.XLOOKUP(may[[#This Row],[Date]],Obs_day,Hol,"")</f>
        <v/>
      </c>
      <c r="L9" s="1" cm="1">
        <f t="array" ref="L9:L39">_xlfn.SEQUENCE(L7,1,J4,1)</f>
        <v>45047</v>
      </c>
      <c r="N9" s="41"/>
    </row>
    <row r="10" spans="1:14" x14ac:dyDescent="0.25">
      <c r="A10" s="17" t="str">
        <f>IF(may[[#This Row],[Date]]="","",UPPER(TEXT(may[[#This Row],[Date]],"DDD")))</f>
        <v>TUE</v>
      </c>
      <c r="B10" s="5">
        <f>IF(may[[#This Row],[Date]]="","",WEEKDAY(may[[#This Row],[Date]],11))</f>
        <v>2</v>
      </c>
      <c r="C10" s="5" t="str" cm="1">
        <f t="array" ref="C10">_xlfn.IFNA(_xlfn.XLOOKUP(may[[#This Row],[Date]],Obs_day,HN),"")</f>
        <v/>
      </c>
      <c r="D10" s="4">
        <f t="shared" ref="D10:D39" si="0">IF(L10&gt;0,L10,"")</f>
        <v>45048</v>
      </c>
      <c r="E10" s="61"/>
      <c r="F10" s="58"/>
      <c r="G10" s="61"/>
      <c r="H10" s="61"/>
      <c r="I10" s="62"/>
      <c r="J10" s="60" t="str">
        <f>_xlfn.XLOOKUP(may[[#This Row],[Date]],Obs_day,Hol,"")</f>
        <v/>
      </c>
      <c r="L10" s="1">
        <v>45048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IF(may[[#This Row],[Date]]="","",UPPER(TEXT(may[[#This Row],[Date]],"DDD")))</f>
        <v>WED</v>
      </c>
      <c r="B11" s="5">
        <f>IF(may[[#This Row],[Date]]="","",WEEKDAY(may[[#This Row],[Date]],11))</f>
        <v>3</v>
      </c>
      <c r="C11" s="5" t="str" cm="1">
        <f t="array" ref="C11">_xlfn.IFNA(_xlfn.XLOOKUP(may[[#This Row],[Date]],Obs_day,HN),"")</f>
        <v/>
      </c>
      <c r="D11" s="4">
        <f t="shared" si="0"/>
        <v>45049</v>
      </c>
      <c r="E11" s="61"/>
      <c r="F11" s="58"/>
      <c r="G11" s="61"/>
      <c r="H11" s="61"/>
      <c r="I11" s="62"/>
      <c r="J11" s="60" t="str">
        <f>_xlfn.XLOOKUP(may[[#This Row],[Date]],Obs_day,Hol,"")</f>
        <v/>
      </c>
      <c r="L11" s="1">
        <v>45049</v>
      </c>
    </row>
    <row r="12" spans="1:14" x14ac:dyDescent="0.25">
      <c r="A12" s="17" t="str">
        <f>IF(may[[#This Row],[Date]]="","",UPPER(TEXT(may[[#This Row],[Date]],"DDD")))</f>
        <v>THU</v>
      </c>
      <c r="B12" s="5">
        <f>IF(may[[#This Row],[Date]]="","",WEEKDAY(may[[#This Row],[Date]],11))</f>
        <v>4</v>
      </c>
      <c r="C12" s="5" t="str" cm="1">
        <f t="array" ref="C12">_xlfn.IFNA(_xlfn.XLOOKUP(may[[#This Row],[Date]],Obs_day,HN),"")</f>
        <v/>
      </c>
      <c r="D12" s="4">
        <f t="shared" si="0"/>
        <v>45050</v>
      </c>
      <c r="E12" s="61"/>
      <c r="F12" s="58"/>
      <c r="G12" s="61"/>
      <c r="H12" s="61"/>
      <c r="I12" s="62"/>
      <c r="J12" s="60" t="str">
        <f>_xlfn.XLOOKUP(may[[#This Row],[Date]],Obs_day,Hol,"")</f>
        <v/>
      </c>
      <c r="L12" s="1">
        <v>45050</v>
      </c>
    </row>
    <row r="13" spans="1:14" x14ac:dyDescent="0.25">
      <c r="A13" s="17" t="str">
        <f>IF(may[[#This Row],[Date]]="","",UPPER(TEXT(may[[#This Row],[Date]],"DDD")))</f>
        <v>FRI</v>
      </c>
      <c r="B13" s="5">
        <f>IF(may[[#This Row],[Date]]="","",WEEKDAY(may[[#This Row],[Date]],11))</f>
        <v>5</v>
      </c>
      <c r="C13" s="5" t="str" cm="1">
        <f t="array" ref="C13">_xlfn.IFNA(_xlfn.XLOOKUP(may[[#This Row],[Date]],Obs_day,HN),"")</f>
        <v/>
      </c>
      <c r="D13" s="4">
        <f t="shared" si="0"/>
        <v>45051</v>
      </c>
      <c r="E13" s="61"/>
      <c r="F13" s="58"/>
      <c r="G13" s="61"/>
      <c r="H13" s="61"/>
      <c r="I13" s="62"/>
      <c r="J13" s="60" t="str">
        <f>_xlfn.XLOOKUP(may[[#This Row],[Date]],Obs_day,Hol,"")</f>
        <v/>
      </c>
      <c r="L13" s="1">
        <v>45051</v>
      </c>
    </row>
    <row r="14" spans="1:14" x14ac:dyDescent="0.25">
      <c r="A14" s="17" t="str">
        <f>IF(may[[#This Row],[Date]]="","",UPPER(TEXT(may[[#This Row],[Date]],"DDD")))</f>
        <v>SAT</v>
      </c>
      <c r="B14" s="5">
        <f>IF(may[[#This Row],[Date]]="","",WEEKDAY(may[[#This Row],[Date]],11))</f>
        <v>6</v>
      </c>
      <c r="C14" s="5" t="str" cm="1">
        <f t="array" ref="C14">_xlfn.IFNA(_xlfn.XLOOKUP(may[[#This Row],[Date]],Obs_day,HN),"")</f>
        <v/>
      </c>
      <c r="D14" s="4">
        <f t="shared" si="0"/>
        <v>45052</v>
      </c>
      <c r="E14" s="61"/>
      <c r="F14" s="61"/>
      <c r="G14" s="61"/>
      <c r="H14" s="61"/>
      <c r="I14" s="62"/>
      <c r="J14" s="60" t="str">
        <f>_xlfn.XLOOKUP(may[[#This Row],[Date]],Obs_day,Hol,"")</f>
        <v/>
      </c>
      <c r="L14" s="1">
        <v>45052</v>
      </c>
    </row>
    <row r="15" spans="1:14" x14ac:dyDescent="0.25">
      <c r="A15" s="17" t="str">
        <f>IF(may[[#This Row],[Date]]="","",UPPER(TEXT(may[[#This Row],[Date]],"DDD")))</f>
        <v>SUN</v>
      </c>
      <c r="B15" s="5">
        <f>IF(may[[#This Row],[Date]]="","",WEEKDAY(may[[#This Row],[Date]],11))</f>
        <v>7</v>
      </c>
      <c r="C15" s="5" t="str" cm="1">
        <f t="array" ref="C15">_xlfn.IFNA(_xlfn.XLOOKUP(may[[#This Row],[Date]],Obs_day,HN),"")</f>
        <v/>
      </c>
      <c r="D15" s="4">
        <f t="shared" si="0"/>
        <v>45053</v>
      </c>
      <c r="E15" s="61"/>
      <c r="F15" s="61"/>
      <c r="G15" s="61"/>
      <c r="H15" s="61"/>
      <c r="I15" s="62"/>
      <c r="J15" s="60" t="str">
        <f>_xlfn.XLOOKUP(may[[#This Row],[Date]],Obs_day,Hol,"")</f>
        <v/>
      </c>
      <c r="L15" s="1">
        <v>45053</v>
      </c>
    </row>
    <row r="16" spans="1:14" x14ac:dyDescent="0.25">
      <c r="A16" s="17" t="str">
        <f>IF(may[[#This Row],[Date]]="","",UPPER(TEXT(may[[#This Row],[Date]],"DDD")))</f>
        <v>MON</v>
      </c>
      <c r="B16" s="5">
        <f>IF(may[[#This Row],[Date]]="","",WEEKDAY(may[[#This Row],[Date]],11))</f>
        <v>1</v>
      </c>
      <c r="C16" s="5" t="str" cm="1">
        <f t="array" ref="C16">_xlfn.IFNA(_xlfn.XLOOKUP(may[[#This Row],[Date]],Obs_day,HN),"")</f>
        <v/>
      </c>
      <c r="D16" s="4">
        <f t="shared" si="0"/>
        <v>45054</v>
      </c>
      <c r="E16" s="61"/>
      <c r="F16" s="58"/>
      <c r="G16" s="61"/>
      <c r="H16" s="61"/>
      <c r="I16" s="62"/>
      <c r="J16" s="60" t="str">
        <f>_xlfn.XLOOKUP(may[[#This Row],[Date]],Obs_day,Hol,"")</f>
        <v/>
      </c>
      <c r="L16" s="1">
        <v>45054</v>
      </c>
    </row>
    <row r="17" spans="1:12" x14ac:dyDescent="0.25">
      <c r="A17" s="17" t="str">
        <f>IF(may[[#This Row],[Date]]="","",UPPER(TEXT(may[[#This Row],[Date]],"DDD")))</f>
        <v>TUE</v>
      </c>
      <c r="B17" s="5">
        <f>IF(may[[#This Row],[Date]]="","",WEEKDAY(may[[#This Row],[Date]],11))</f>
        <v>2</v>
      </c>
      <c r="C17" s="5" t="str" cm="1">
        <f t="array" ref="C17">_xlfn.IFNA(_xlfn.XLOOKUP(may[[#This Row],[Date]],Obs_day,HN),"")</f>
        <v/>
      </c>
      <c r="D17" s="4">
        <f t="shared" si="0"/>
        <v>45055</v>
      </c>
      <c r="E17" s="61"/>
      <c r="F17" s="58"/>
      <c r="G17" s="61"/>
      <c r="H17" s="61"/>
      <c r="I17" s="62"/>
      <c r="J17" s="60" t="str">
        <f>_xlfn.XLOOKUP(may[[#This Row],[Date]],Obs_day,Hol,"")</f>
        <v/>
      </c>
      <c r="L17" s="1">
        <v>45055</v>
      </c>
    </row>
    <row r="18" spans="1:12" x14ac:dyDescent="0.25">
      <c r="A18" s="17" t="str">
        <f>IF(may[[#This Row],[Date]]="","",UPPER(TEXT(may[[#This Row],[Date]],"DDD")))</f>
        <v>WED</v>
      </c>
      <c r="B18" s="5">
        <f>IF(may[[#This Row],[Date]]="","",WEEKDAY(may[[#This Row],[Date]],11))</f>
        <v>3</v>
      </c>
      <c r="C18" s="5" t="str" cm="1">
        <f t="array" ref="C18">_xlfn.IFNA(_xlfn.XLOOKUP(may[[#This Row],[Date]],Obs_day,HN),"")</f>
        <v/>
      </c>
      <c r="D18" s="4">
        <f t="shared" si="0"/>
        <v>45056</v>
      </c>
      <c r="E18" s="61"/>
      <c r="F18" s="58"/>
      <c r="G18" s="61"/>
      <c r="H18" s="61"/>
      <c r="I18" s="62"/>
      <c r="J18" s="60" t="str">
        <f>_xlfn.XLOOKUP(may[[#This Row],[Date]],Obs_day,Hol,"")</f>
        <v/>
      </c>
      <c r="L18" s="1">
        <v>45056</v>
      </c>
    </row>
    <row r="19" spans="1:12" x14ac:dyDescent="0.25">
      <c r="A19" s="17" t="str">
        <f>IF(may[[#This Row],[Date]]="","",UPPER(TEXT(may[[#This Row],[Date]],"DDD")))</f>
        <v>THU</v>
      </c>
      <c r="B19" s="5">
        <f>IF(may[[#This Row],[Date]]="","",WEEKDAY(may[[#This Row],[Date]],11))</f>
        <v>4</v>
      </c>
      <c r="C19" s="5" t="str" cm="1">
        <f t="array" ref="C19">_xlfn.IFNA(_xlfn.XLOOKUP(may[[#This Row],[Date]],Obs_day,HN),"")</f>
        <v/>
      </c>
      <c r="D19" s="4">
        <f t="shared" si="0"/>
        <v>45057</v>
      </c>
      <c r="E19" s="61"/>
      <c r="F19" s="58"/>
      <c r="G19" s="61"/>
      <c r="H19" s="61"/>
      <c r="I19" s="62"/>
      <c r="J19" s="60" t="str">
        <f>_xlfn.XLOOKUP(may[[#This Row],[Date]],Obs_day,Hol,"")</f>
        <v/>
      </c>
      <c r="L19" s="1">
        <v>45057</v>
      </c>
    </row>
    <row r="20" spans="1:12" x14ac:dyDescent="0.25">
      <c r="A20" s="17" t="str">
        <f>IF(may[[#This Row],[Date]]="","",UPPER(TEXT(may[[#This Row],[Date]],"DDD")))</f>
        <v>FRI</v>
      </c>
      <c r="B20" s="5">
        <f>IF(may[[#This Row],[Date]]="","",WEEKDAY(may[[#This Row],[Date]],11))</f>
        <v>5</v>
      </c>
      <c r="C20" s="5" t="str" cm="1">
        <f t="array" ref="C20">_xlfn.IFNA(_xlfn.XLOOKUP(may[[#This Row],[Date]],Obs_day,HN),"")</f>
        <v/>
      </c>
      <c r="D20" s="4">
        <f t="shared" si="0"/>
        <v>45058</v>
      </c>
      <c r="E20" s="61"/>
      <c r="F20" s="58"/>
      <c r="G20" s="61"/>
      <c r="H20" s="61"/>
      <c r="I20" s="62"/>
      <c r="J20" s="60" t="str">
        <f>_xlfn.XLOOKUP(may[[#This Row],[Date]],Obs_day,Hol,"")</f>
        <v/>
      </c>
      <c r="L20" s="1">
        <v>45058</v>
      </c>
    </row>
    <row r="21" spans="1:12" x14ac:dyDescent="0.25">
      <c r="A21" s="17" t="str">
        <f>IF(may[[#This Row],[Date]]="","",UPPER(TEXT(may[[#This Row],[Date]],"DDD")))</f>
        <v>SAT</v>
      </c>
      <c r="B21" s="5">
        <f>IF(may[[#This Row],[Date]]="","",WEEKDAY(may[[#This Row],[Date]],11))</f>
        <v>6</v>
      </c>
      <c r="C21" s="5" t="str" cm="1">
        <f t="array" ref="C21">_xlfn.IFNA(_xlfn.XLOOKUP(may[[#This Row],[Date]],Obs_day,HN),"")</f>
        <v/>
      </c>
      <c r="D21" s="4">
        <f t="shared" si="0"/>
        <v>45059</v>
      </c>
      <c r="E21" s="61"/>
      <c r="F21" s="61"/>
      <c r="G21" s="61"/>
      <c r="H21" s="61"/>
      <c r="I21" s="62"/>
      <c r="J21" s="60" t="str">
        <f>_xlfn.XLOOKUP(may[[#This Row],[Date]],Obs_day,Hol,"")</f>
        <v/>
      </c>
      <c r="L21" s="1">
        <v>45059</v>
      </c>
    </row>
    <row r="22" spans="1:12" x14ac:dyDescent="0.25">
      <c r="A22" s="17" t="str">
        <f>IF(may[[#This Row],[Date]]="","",UPPER(TEXT(may[[#This Row],[Date]],"DDD")))</f>
        <v>SUN</v>
      </c>
      <c r="B22" s="5">
        <f>IF(may[[#This Row],[Date]]="","",WEEKDAY(may[[#This Row],[Date]],11))</f>
        <v>7</v>
      </c>
      <c r="C22" s="5" t="str" cm="1">
        <f t="array" ref="C22">_xlfn.IFNA(_xlfn.XLOOKUP(may[[#This Row],[Date]],Obs_day,HN),"")</f>
        <v/>
      </c>
      <c r="D22" s="4">
        <f t="shared" si="0"/>
        <v>45060</v>
      </c>
      <c r="E22" s="61"/>
      <c r="F22" s="61"/>
      <c r="G22" s="61"/>
      <c r="H22" s="61"/>
      <c r="I22" s="62"/>
      <c r="J22" s="60" t="str">
        <f>_xlfn.XLOOKUP(may[[#This Row],[Date]],Obs_day,Hol,"")</f>
        <v/>
      </c>
      <c r="L22" s="1">
        <v>45060</v>
      </c>
    </row>
    <row r="23" spans="1:12" x14ac:dyDescent="0.25">
      <c r="A23" s="17" t="str">
        <f>IF(may[[#This Row],[Date]]="","",UPPER(TEXT(may[[#This Row],[Date]],"DDD")))</f>
        <v>MON</v>
      </c>
      <c r="B23" s="5">
        <f>IF(may[[#This Row],[Date]]="","",WEEKDAY(may[[#This Row],[Date]],11))</f>
        <v>1</v>
      </c>
      <c r="C23" s="5" t="str" cm="1">
        <f t="array" ref="C23">_xlfn.IFNA(_xlfn.XLOOKUP(may[[#This Row],[Date]],Obs_day,HN),"")</f>
        <v/>
      </c>
      <c r="D23" s="4">
        <f t="shared" si="0"/>
        <v>45061</v>
      </c>
      <c r="E23" s="61"/>
      <c r="F23" s="58"/>
      <c r="G23" s="61"/>
      <c r="H23" s="61"/>
      <c r="I23" s="62"/>
      <c r="J23" s="60" t="str">
        <f>_xlfn.XLOOKUP(may[[#This Row],[Date]],Obs_day,Hol,"")</f>
        <v/>
      </c>
      <c r="L23" s="1">
        <v>45061</v>
      </c>
    </row>
    <row r="24" spans="1:12" x14ac:dyDescent="0.25">
      <c r="A24" s="17" t="str">
        <f>IF(may[[#This Row],[Date]]="","",UPPER(TEXT(may[[#This Row],[Date]],"DDD")))</f>
        <v>TUE</v>
      </c>
      <c r="B24" s="5">
        <f>IF(may[[#This Row],[Date]]="","",WEEKDAY(may[[#This Row],[Date]],11))</f>
        <v>2</v>
      </c>
      <c r="C24" s="5" t="str" cm="1">
        <f t="array" ref="C24">_xlfn.IFNA(_xlfn.XLOOKUP(may[[#This Row],[Date]],Obs_day,HN),"")</f>
        <v/>
      </c>
      <c r="D24" s="4">
        <f t="shared" si="0"/>
        <v>45062</v>
      </c>
      <c r="E24" s="61"/>
      <c r="F24" s="58"/>
      <c r="G24" s="61"/>
      <c r="H24" s="61"/>
      <c r="I24" s="62"/>
      <c r="J24" s="60" t="str">
        <f>_xlfn.XLOOKUP(may[[#This Row],[Date]],Obs_day,Hol,"")</f>
        <v/>
      </c>
      <c r="L24" s="1">
        <v>45062</v>
      </c>
    </row>
    <row r="25" spans="1:12" x14ac:dyDescent="0.25">
      <c r="A25" s="17" t="str">
        <f>IF(may[[#This Row],[Date]]="","",UPPER(TEXT(may[[#This Row],[Date]],"DDD")))</f>
        <v>WED</v>
      </c>
      <c r="B25" s="5">
        <f>IF(may[[#This Row],[Date]]="","",WEEKDAY(may[[#This Row],[Date]],11))</f>
        <v>3</v>
      </c>
      <c r="C25" s="5" t="str" cm="1">
        <f t="array" ref="C25">_xlfn.IFNA(_xlfn.XLOOKUP(may[[#This Row],[Date]],Obs_day,HN),"")</f>
        <v/>
      </c>
      <c r="D25" s="4">
        <f t="shared" si="0"/>
        <v>45063</v>
      </c>
      <c r="E25" s="61"/>
      <c r="F25" s="58"/>
      <c r="G25" s="61"/>
      <c r="H25" s="61"/>
      <c r="I25" s="62"/>
      <c r="J25" s="60" t="str">
        <f>_xlfn.XLOOKUP(may[[#This Row],[Date]],Obs_day,Hol,"")</f>
        <v/>
      </c>
      <c r="L25" s="1">
        <v>45063</v>
      </c>
    </row>
    <row r="26" spans="1:12" x14ac:dyDescent="0.25">
      <c r="A26" s="17" t="str">
        <f>IF(may[[#This Row],[Date]]="","",UPPER(TEXT(may[[#This Row],[Date]],"DDD")))</f>
        <v>THU</v>
      </c>
      <c r="B26" s="5">
        <f>IF(may[[#This Row],[Date]]="","",WEEKDAY(may[[#This Row],[Date]],11))</f>
        <v>4</v>
      </c>
      <c r="C26" s="5" t="str" cm="1">
        <f t="array" ref="C26">_xlfn.IFNA(_xlfn.XLOOKUP(may[[#This Row],[Date]],Obs_day,HN),"")</f>
        <v/>
      </c>
      <c r="D26" s="4">
        <f t="shared" si="0"/>
        <v>45064</v>
      </c>
      <c r="E26" s="61"/>
      <c r="F26" s="58"/>
      <c r="G26" s="61"/>
      <c r="H26" s="61"/>
      <c r="I26" s="62"/>
      <c r="J26" s="60" t="str">
        <f>_xlfn.XLOOKUP(may[[#This Row],[Date]],Obs_day,Hol,"")</f>
        <v/>
      </c>
      <c r="L26" s="1">
        <v>45064</v>
      </c>
    </row>
    <row r="27" spans="1:12" x14ac:dyDescent="0.25">
      <c r="A27" s="17" t="str">
        <f>IF(may[[#This Row],[Date]]="","",UPPER(TEXT(may[[#This Row],[Date]],"DDD")))</f>
        <v>FRI</v>
      </c>
      <c r="B27" s="5">
        <f>IF(may[[#This Row],[Date]]="","",WEEKDAY(may[[#This Row],[Date]],11))</f>
        <v>5</v>
      </c>
      <c r="C27" s="5" cm="1">
        <f t="array" ref="C27">_xlfn.IFNA(_xlfn.XLOOKUP(may[[#This Row],[Date]],Obs_day,HN),"")</f>
        <v>1</v>
      </c>
      <c r="D27" s="4">
        <f t="shared" si="0"/>
        <v>45065</v>
      </c>
      <c r="E27" s="61"/>
      <c r="F27" s="61"/>
      <c r="G27" s="61"/>
      <c r="H27" s="61"/>
      <c r="I27" s="62"/>
      <c r="J27" s="64" t="str">
        <f>_xlfn.XLOOKUP(may[[#This Row],[Date]],Obs_day,Hol,"")</f>
        <v>Malcolm X Birthday</v>
      </c>
      <c r="L27" s="1">
        <v>45065</v>
      </c>
    </row>
    <row r="28" spans="1:12" x14ac:dyDescent="0.25">
      <c r="A28" s="17" t="str">
        <f>IF(may[[#This Row],[Date]]="","",UPPER(TEXT(may[[#This Row],[Date]],"DDD")))</f>
        <v>SAT</v>
      </c>
      <c r="B28" s="5">
        <f>IF(may[[#This Row],[Date]]="","",WEEKDAY(may[[#This Row],[Date]],11))</f>
        <v>6</v>
      </c>
      <c r="C28" s="5" t="str" cm="1">
        <f t="array" ref="C28">_xlfn.IFNA(_xlfn.XLOOKUP(may[[#This Row],[Date]],Obs_day,HN),"")</f>
        <v/>
      </c>
      <c r="D28" s="4">
        <f t="shared" si="0"/>
        <v>45066</v>
      </c>
      <c r="E28" s="61"/>
      <c r="F28" s="61"/>
      <c r="G28" s="61"/>
      <c r="H28" s="61"/>
      <c r="I28" s="62"/>
      <c r="J28" s="60" t="str">
        <f>_xlfn.XLOOKUP(may[[#This Row],[Date]],Obs_day,Hol,"")</f>
        <v/>
      </c>
      <c r="L28" s="1">
        <v>45066</v>
      </c>
    </row>
    <row r="29" spans="1:12" x14ac:dyDescent="0.25">
      <c r="A29" s="17" t="str">
        <f>IF(may[[#This Row],[Date]]="","",UPPER(TEXT(may[[#This Row],[Date]],"DDD")))</f>
        <v>SUN</v>
      </c>
      <c r="B29" s="5">
        <f>IF(may[[#This Row],[Date]]="","",WEEKDAY(may[[#This Row],[Date]],11))</f>
        <v>7</v>
      </c>
      <c r="C29" s="5" t="str" cm="1">
        <f t="array" ref="C29">_xlfn.IFNA(_xlfn.XLOOKUP(may[[#This Row],[Date]],Obs_day,HN),"")</f>
        <v/>
      </c>
      <c r="D29" s="4">
        <f t="shared" si="0"/>
        <v>45067</v>
      </c>
      <c r="E29" s="61"/>
      <c r="F29" s="61"/>
      <c r="G29" s="61"/>
      <c r="H29" s="61"/>
      <c r="I29" s="62"/>
      <c r="J29" s="60" t="str">
        <f>_xlfn.XLOOKUP(may[[#This Row],[Date]],Obs_day,Hol,"")</f>
        <v/>
      </c>
      <c r="L29" s="1">
        <v>45067</v>
      </c>
    </row>
    <row r="30" spans="1:12" x14ac:dyDescent="0.25">
      <c r="A30" s="17" t="str">
        <f>IF(may[[#This Row],[Date]]="","",UPPER(TEXT(may[[#This Row],[Date]],"DDD")))</f>
        <v>MON</v>
      </c>
      <c r="B30" s="5">
        <f>IF(may[[#This Row],[Date]]="","",WEEKDAY(may[[#This Row],[Date]],11))</f>
        <v>1</v>
      </c>
      <c r="C30" s="5" t="str" cm="1">
        <f t="array" ref="C30">_xlfn.IFNA(_xlfn.XLOOKUP(may[[#This Row],[Date]],Obs_day,HN),"")</f>
        <v/>
      </c>
      <c r="D30" s="4">
        <f t="shared" si="0"/>
        <v>45068</v>
      </c>
      <c r="E30" s="61"/>
      <c r="F30" s="58"/>
      <c r="G30" s="61"/>
      <c r="H30" s="61"/>
      <c r="I30" s="62"/>
      <c r="J30" s="60" t="str">
        <f>_xlfn.XLOOKUP(may[[#This Row],[Date]],Obs_day,Hol,"")</f>
        <v/>
      </c>
      <c r="L30" s="1">
        <v>45068</v>
      </c>
    </row>
    <row r="31" spans="1:12" x14ac:dyDescent="0.25">
      <c r="A31" s="17" t="str">
        <f>IF(may[[#This Row],[Date]]="","",UPPER(TEXT(may[[#This Row],[Date]],"DDD")))</f>
        <v>TUE</v>
      </c>
      <c r="B31" s="5">
        <f>IF(may[[#This Row],[Date]]="","",WEEKDAY(may[[#This Row],[Date]],11))</f>
        <v>2</v>
      </c>
      <c r="C31" s="5" t="str" cm="1">
        <f t="array" ref="C31">_xlfn.IFNA(_xlfn.XLOOKUP(may[[#This Row],[Date]],Obs_day,HN),"")</f>
        <v/>
      </c>
      <c r="D31" s="4">
        <f t="shared" si="0"/>
        <v>45069</v>
      </c>
      <c r="E31" s="61"/>
      <c r="F31" s="58"/>
      <c r="G31" s="61"/>
      <c r="H31" s="61"/>
      <c r="I31" s="62"/>
      <c r="J31" s="60" t="str">
        <f>_xlfn.XLOOKUP(may[[#This Row],[Date]],Obs_day,Hol,"")</f>
        <v/>
      </c>
      <c r="L31" s="1">
        <v>45069</v>
      </c>
    </row>
    <row r="32" spans="1:12" x14ac:dyDescent="0.25">
      <c r="A32" s="17" t="str">
        <f>IF(may[[#This Row],[Date]]="","",UPPER(TEXT(may[[#This Row],[Date]],"DDD")))</f>
        <v>WED</v>
      </c>
      <c r="B32" s="5">
        <f>IF(may[[#This Row],[Date]]="","",WEEKDAY(may[[#This Row],[Date]],11))</f>
        <v>3</v>
      </c>
      <c r="C32" s="5" t="str" cm="1">
        <f t="array" ref="C32">_xlfn.IFNA(_xlfn.XLOOKUP(may[[#This Row],[Date]],Obs_day,HN),"")</f>
        <v/>
      </c>
      <c r="D32" s="4">
        <f t="shared" si="0"/>
        <v>45070</v>
      </c>
      <c r="E32" s="61"/>
      <c r="F32" s="58"/>
      <c r="G32" s="61"/>
      <c r="H32" s="61"/>
      <c r="I32" s="62"/>
      <c r="J32" s="60" t="str">
        <f>_xlfn.XLOOKUP(may[[#This Row],[Date]],Obs_day,Hol,"")</f>
        <v/>
      </c>
      <c r="L32" s="1">
        <v>45070</v>
      </c>
    </row>
    <row r="33" spans="1:12" x14ac:dyDescent="0.25">
      <c r="A33" s="17" t="str">
        <f>IF(may[[#This Row],[Date]]="","",UPPER(TEXT(may[[#This Row],[Date]],"DDD")))</f>
        <v>THU</v>
      </c>
      <c r="B33" s="5">
        <f>IF(may[[#This Row],[Date]]="","",WEEKDAY(may[[#This Row],[Date]],11))</f>
        <v>4</v>
      </c>
      <c r="C33" s="5" t="str" cm="1">
        <f t="array" ref="C33">_xlfn.IFNA(_xlfn.XLOOKUP(may[[#This Row],[Date]],Obs_day,HN),"")</f>
        <v/>
      </c>
      <c r="D33" s="4">
        <f t="shared" si="0"/>
        <v>45071</v>
      </c>
      <c r="E33" s="61"/>
      <c r="F33" s="58"/>
      <c r="G33" s="61"/>
      <c r="H33" s="61"/>
      <c r="I33" s="62"/>
      <c r="J33" s="60" t="str">
        <f>_xlfn.XLOOKUP(may[[#This Row],[Date]],Obs_day,Hol,"")</f>
        <v/>
      </c>
      <c r="L33" s="1">
        <v>45071</v>
      </c>
    </row>
    <row r="34" spans="1:12" x14ac:dyDescent="0.25">
      <c r="A34" s="17" t="str">
        <f>IF(may[[#This Row],[Date]]="","",UPPER(TEXT(may[[#This Row],[Date]],"DDD")))</f>
        <v>FRI</v>
      </c>
      <c r="B34" s="5">
        <f>IF(may[[#This Row],[Date]]="","",WEEKDAY(may[[#This Row],[Date]],11))</f>
        <v>5</v>
      </c>
      <c r="C34" s="5" t="str" cm="1">
        <f t="array" ref="C34">_xlfn.IFNA(_xlfn.XLOOKUP(may[[#This Row],[Date]],Obs_day,HN),"")</f>
        <v/>
      </c>
      <c r="D34" s="4">
        <f t="shared" si="0"/>
        <v>45072</v>
      </c>
      <c r="E34" s="61"/>
      <c r="F34" s="58"/>
      <c r="G34" s="61"/>
      <c r="H34" s="61"/>
      <c r="I34" s="62"/>
      <c r="J34" s="60" t="str">
        <f>_xlfn.XLOOKUP(may[[#This Row],[Date]],Obs_day,Hol,"")</f>
        <v/>
      </c>
      <c r="L34" s="1">
        <v>45072</v>
      </c>
    </row>
    <row r="35" spans="1:12" x14ac:dyDescent="0.25">
      <c r="A35" s="17" t="str">
        <f>IF(may[[#This Row],[Date]]="","",UPPER(TEXT(may[[#This Row],[Date]],"DDD")))</f>
        <v>SAT</v>
      </c>
      <c r="B35" s="5">
        <f>IF(may[[#This Row],[Date]]="","",WEEKDAY(may[[#This Row],[Date]],11))</f>
        <v>6</v>
      </c>
      <c r="C35" s="5" t="str" cm="1">
        <f t="array" ref="C35">_xlfn.IFNA(_xlfn.XLOOKUP(may[[#This Row],[Date]],Obs_day,HN),"")</f>
        <v/>
      </c>
      <c r="D35" s="4">
        <f t="shared" si="0"/>
        <v>45073</v>
      </c>
      <c r="E35" s="61"/>
      <c r="F35" s="61"/>
      <c r="G35" s="61"/>
      <c r="H35" s="61"/>
      <c r="I35" s="62"/>
      <c r="J35" s="60" t="str">
        <f>_xlfn.XLOOKUP(may[[#This Row],[Date]],Obs_day,Hol,"")</f>
        <v/>
      </c>
      <c r="L35" s="1">
        <v>45073</v>
      </c>
    </row>
    <row r="36" spans="1:12" x14ac:dyDescent="0.25">
      <c r="A36" s="17" t="str">
        <f>IF(may[[#This Row],[Date]]="","",UPPER(TEXT(may[[#This Row],[Date]],"DDD")))</f>
        <v>SUN</v>
      </c>
      <c r="B36" s="5">
        <f>IF(may[[#This Row],[Date]]="","",WEEKDAY(may[[#This Row],[Date]],11))</f>
        <v>7</v>
      </c>
      <c r="C36" s="5" t="str" cm="1">
        <f t="array" ref="C36">_xlfn.IFNA(_xlfn.XLOOKUP(may[[#This Row],[Date]],Obs_day,HN),"")</f>
        <v/>
      </c>
      <c r="D36" s="4">
        <f t="shared" si="0"/>
        <v>45074</v>
      </c>
      <c r="E36" s="61"/>
      <c r="F36" s="61"/>
      <c r="G36" s="61"/>
      <c r="H36" s="61"/>
      <c r="I36" s="62"/>
      <c r="J36" s="60" t="str">
        <f>_xlfn.XLOOKUP(may[[#This Row],[Date]],Obs_day,Hol,"")</f>
        <v/>
      </c>
      <c r="L36" s="1">
        <v>45074</v>
      </c>
    </row>
    <row r="37" spans="1:12" x14ac:dyDescent="0.25">
      <c r="A37" s="17" t="str">
        <f>IF(may[[#This Row],[Date]]="","",UPPER(TEXT(may[[#This Row],[Date]],"DDD")))</f>
        <v>MON</v>
      </c>
      <c r="B37" s="5">
        <f>IF(may[[#This Row],[Date]]="","",WEEKDAY(may[[#This Row],[Date]],11))</f>
        <v>1</v>
      </c>
      <c r="C37" s="5" cm="1">
        <f t="array" ref="C37">_xlfn.IFNA(_xlfn.XLOOKUP(may[[#This Row],[Date]],Obs_day,HN),"")</f>
        <v>1</v>
      </c>
      <c r="D37" s="4">
        <f t="shared" si="0"/>
        <v>45075</v>
      </c>
      <c r="E37" s="61"/>
      <c r="F37" s="61"/>
      <c r="G37" s="61"/>
      <c r="H37" s="61"/>
      <c r="I37" s="62"/>
      <c r="J37" s="64" t="str">
        <f>_xlfn.XLOOKUP(may[[#This Row],[Date]],Obs_day,Hol,"")</f>
        <v>Memorial Day</v>
      </c>
      <c r="L37" s="1">
        <v>45075</v>
      </c>
    </row>
    <row r="38" spans="1:12" x14ac:dyDescent="0.25">
      <c r="A38" s="17" t="str">
        <f>IF(may[[#This Row],[Date]]="","",UPPER(TEXT(may[[#This Row],[Date]],"DDD")))</f>
        <v>TUE</v>
      </c>
      <c r="B38" s="5">
        <f>IF(may[[#This Row],[Date]]="","",WEEKDAY(may[[#This Row],[Date]],11))</f>
        <v>2</v>
      </c>
      <c r="C38" s="5" t="str" cm="1">
        <f t="array" ref="C38">_xlfn.IFNA(_xlfn.XLOOKUP(may[[#This Row],[Date]],Obs_day,HN),"")</f>
        <v/>
      </c>
      <c r="D38" s="4">
        <f t="shared" si="0"/>
        <v>45076</v>
      </c>
      <c r="E38" s="61"/>
      <c r="F38" s="58"/>
      <c r="G38" s="61"/>
      <c r="H38" s="61"/>
      <c r="I38" s="62"/>
      <c r="J38" s="60" t="str">
        <f>_xlfn.XLOOKUP(may[[#This Row],[Date]],Obs_day,Hol,"")</f>
        <v/>
      </c>
      <c r="L38" s="1">
        <v>45076</v>
      </c>
    </row>
    <row r="39" spans="1:12" x14ac:dyDescent="0.25">
      <c r="A39" s="17" t="str">
        <f>IF(may[[#This Row],[Date]]="","",UPPER(TEXT(may[[#This Row],[Date]],"DDD")))</f>
        <v>WED</v>
      </c>
      <c r="B39" s="6">
        <f>IF(may[[#This Row],[Date]]="","",WEEKDAY(may[[#This Row],[Date]],11))</f>
        <v>3</v>
      </c>
      <c r="C39" s="6" t="str" cm="1">
        <f t="array" ref="C39">_xlfn.IFNA(_xlfn.XLOOKUP(may[[#This Row],[Date]],Obs_day,HN),"")</f>
        <v/>
      </c>
      <c r="D39" s="4">
        <f t="shared" si="0"/>
        <v>45077</v>
      </c>
      <c r="E39" s="61"/>
      <c r="F39" s="58"/>
      <c r="G39" s="61"/>
      <c r="H39" s="61"/>
      <c r="I39" s="62"/>
      <c r="J39" s="63" t="str">
        <f>_xlfn.XLOOKUP(may[[#This Row],[Date]],Obs_day,Hol,"")</f>
        <v/>
      </c>
      <c r="L39" s="1">
        <v>45077</v>
      </c>
    </row>
    <row r="40" spans="1:12" x14ac:dyDescent="0.25">
      <c r="A40" s="30"/>
      <c r="B40" s="31"/>
      <c r="C40" s="31"/>
      <c r="D40" s="32"/>
      <c r="E40" s="34">
        <f>SUBTOTAL(109,may[Vacation
Hours])</f>
        <v>0</v>
      </c>
      <c r="F40" s="34">
        <f>SUBTOTAL(109,may[Sick
Hours])</f>
        <v>0</v>
      </c>
      <c r="G40" s="34">
        <f>SUBTOTAL(109,may[Float.
Hours])</f>
        <v>0</v>
      </c>
      <c r="H40" s="34">
        <f>SUBTOTAL(109,may[Other
Hours])</f>
        <v>0</v>
      </c>
      <c r="I40" s="28"/>
      <c r="J40" s="29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38</v>
      </c>
      <c r="B44" s="7"/>
      <c r="C44" s="7"/>
      <c r="D44" s="7"/>
      <c r="E44" s="7"/>
      <c r="F44" s="7"/>
      <c r="G44" s="7" t="s">
        <v>7</v>
      </c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ht="15.75" thickBot="1" x14ac:dyDescent="0.3">
      <c r="A46" s="66"/>
      <c r="B46" s="66"/>
      <c r="C46" s="66"/>
      <c r="D46" s="66"/>
      <c r="E46" s="66"/>
      <c r="F46" s="66"/>
      <c r="G46" s="66"/>
      <c r="H46" s="65"/>
      <c r="I46" s="65"/>
      <c r="J46" s="65"/>
    </row>
    <row r="47" spans="1:12" x14ac:dyDescent="0.25">
      <c r="A47" s="7" t="s">
        <v>39</v>
      </c>
      <c r="G47" s="7" t="s">
        <v>7</v>
      </c>
    </row>
  </sheetData>
  <sheetProtection algorithmName="SHA-512" hashValue="URTZmeXRZUwnS+2Hb4vJVSlHUHfKT7gG2QndawRl1y9r52iXBwyjrEdDJFpMJmaIbp8d3p/bfTMoXFObLpVDwA==" saltValue="oVLjJSSMmdXCP3Xo7gGMRQ==" spinCount="100000" sheet="1" objects="1" scenarios="1"/>
  <mergeCells count="2">
    <mergeCell ref="D5:F5"/>
    <mergeCell ref="D6:F6"/>
  </mergeCells>
  <conditionalFormatting sqref="E9:J39">
    <cfRule type="expression" dxfId="117" priority="1">
      <formula>$C9=1</formula>
    </cfRule>
    <cfRule type="expression" dxfId="116" priority="2">
      <formula>$B9&gt;5</formula>
    </cfRule>
  </conditionalFormatting>
  <dataValidations count="2">
    <dataValidation type="list" allowBlank="1" showInputMessage="1" showErrorMessage="1" sqref="I9:I39" xr:uid="{5EAA9054-2887-4431-B11A-2AD870F46B26}">
      <formula1>Codes_for_Other</formula1>
    </dataValidation>
    <dataValidation allowBlank="1" showInputMessage="1" showErrorMessage="1" promptTitle="Personal Information Update" prompt="Enter your Name, ID, and Location in the Jan sheet." sqref="D5:F5" xr:uid="{D3349A05-759B-4927-B894-EE66D52CFD47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400DE-8358-42E5-87DE-35F5A695E913}">
  <sheetPr>
    <pageSetUpPr fitToPage="1"/>
  </sheetPr>
  <dimension ref="A1:N46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EOMONTH(Jan!J4,4)+1</f>
        <v>45078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COUNT(Jun[Date])</f>
        <v>30</v>
      </c>
    </row>
    <row r="7" spans="1:14" x14ac:dyDescent="0.25">
      <c r="L7">
        <f>_xlfn.DAYS(EOMONTH(J4,0)+1,J4)</f>
        <v>30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Jun Date</v>
      </c>
    </row>
    <row r="9" spans="1:14" ht="15.75" thickTop="1" x14ac:dyDescent="0.25">
      <c r="A9" s="18" t="str">
        <f>IF(Jun[[#This Row],[Date]]="","",UPPER(TEXT(Jun[[#This Row],[Date]],"DDD")))</f>
        <v>THU</v>
      </c>
      <c r="B9" s="5">
        <f>IF(Jun[[#This Row],[Date]]="","",WEEKDAY(Jun[[#This Row],[Date]],11))</f>
        <v>4</v>
      </c>
      <c r="C9" s="5" t="str" cm="1">
        <f t="array" ref="C9">_xlfn.IFNA(_xlfn.XLOOKUP(Jun[[#This Row],[Date]],Obs_day,HN),"")</f>
        <v/>
      </c>
      <c r="D9" s="3">
        <f>IF(L9&gt;0,L9,"")</f>
        <v>45078</v>
      </c>
      <c r="E9" s="58"/>
      <c r="F9" s="58"/>
      <c r="G9" s="58"/>
      <c r="H9" s="58"/>
      <c r="I9" s="59"/>
      <c r="J9" s="60" t="str">
        <f>_xlfn.XLOOKUP(Jun[[#This Row],[Date]],Obs_day,Hol,"")</f>
        <v/>
      </c>
      <c r="L9" s="1" cm="1">
        <f t="array" ref="L9:L38">_xlfn.SEQUENCE(L7,1,J4,1)</f>
        <v>45078</v>
      </c>
      <c r="N9" s="41"/>
    </row>
    <row r="10" spans="1:14" x14ac:dyDescent="0.25">
      <c r="A10" s="17" t="str">
        <f>IF(Jun[[#This Row],[Date]]="","",UPPER(TEXT(Jun[[#This Row],[Date]],"DDD")))</f>
        <v>FRI</v>
      </c>
      <c r="B10" s="5">
        <f>IF(Jun[[#This Row],[Date]]="","",WEEKDAY(Jun[[#This Row],[Date]],11))</f>
        <v>5</v>
      </c>
      <c r="C10" s="5" t="str" cm="1">
        <f t="array" ref="C10">_xlfn.IFNA(_xlfn.XLOOKUP(Jun[[#This Row],[Date]],Obs_day,HN),"")</f>
        <v/>
      </c>
      <c r="D10" s="4">
        <f t="shared" ref="D10:D38" si="0">IF(L10&gt;0,L10,"")</f>
        <v>45079</v>
      </c>
      <c r="E10" s="61"/>
      <c r="F10" s="58"/>
      <c r="G10" s="61"/>
      <c r="H10" s="61"/>
      <c r="I10" s="62"/>
      <c r="J10" s="60" t="str">
        <f>_xlfn.XLOOKUP(Jun[[#This Row],[Date]],Obs_day,Hol,"")</f>
        <v/>
      </c>
      <c r="L10" s="1">
        <v>45079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IF(Jun[[#This Row],[Date]]="","",UPPER(TEXT(Jun[[#This Row],[Date]],"DDD")))</f>
        <v>SAT</v>
      </c>
      <c r="B11" s="5">
        <f>IF(Jun[[#This Row],[Date]]="","",WEEKDAY(Jun[[#This Row],[Date]],11))</f>
        <v>6</v>
      </c>
      <c r="C11" s="5" t="str" cm="1">
        <f t="array" ref="C11">_xlfn.IFNA(_xlfn.XLOOKUP(Jun[[#This Row],[Date]],Obs_day,HN),"")</f>
        <v/>
      </c>
      <c r="D11" s="4">
        <f t="shared" si="0"/>
        <v>45080</v>
      </c>
      <c r="E11" s="61"/>
      <c r="F11" s="61"/>
      <c r="G11" s="61"/>
      <c r="H11" s="61"/>
      <c r="I11" s="62"/>
      <c r="J11" s="60" t="str">
        <f>_xlfn.XLOOKUP(Jun[[#This Row],[Date]],Obs_day,Hol,"")</f>
        <v/>
      </c>
      <c r="L11" s="1">
        <v>45080</v>
      </c>
    </row>
    <row r="12" spans="1:14" x14ac:dyDescent="0.25">
      <c r="A12" s="17" t="str">
        <f>IF(Jun[[#This Row],[Date]]="","",UPPER(TEXT(Jun[[#This Row],[Date]],"DDD")))</f>
        <v>SUN</v>
      </c>
      <c r="B12" s="5">
        <f>IF(Jun[[#This Row],[Date]]="","",WEEKDAY(Jun[[#This Row],[Date]],11))</f>
        <v>7</v>
      </c>
      <c r="C12" s="5" t="str" cm="1">
        <f t="array" ref="C12">_xlfn.IFNA(_xlfn.XLOOKUP(Jun[[#This Row],[Date]],Obs_day,HN),"")</f>
        <v/>
      </c>
      <c r="D12" s="4">
        <f t="shared" si="0"/>
        <v>45081</v>
      </c>
      <c r="E12" s="61"/>
      <c r="F12" s="61"/>
      <c r="G12" s="61"/>
      <c r="H12" s="61"/>
      <c r="I12" s="62"/>
      <c r="J12" s="60" t="str">
        <f>_xlfn.XLOOKUP(Jun[[#This Row],[Date]],Obs_day,Hol,"")</f>
        <v/>
      </c>
      <c r="L12" s="1">
        <v>45081</v>
      </c>
    </row>
    <row r="13" spans="1:14" x14ac:dyDescent="0.25">
      <c r="A13" s="17" t="str">
        <f>IF(Jun[[#This Row],[Date]]="","",UPPER(TEXT(Jun[[#This Row],[Date]],"DDD")))</f>
        <v>MON</v>
      </c>
      <c r="B13" s="5">
        <f>IF(Jun[[#This Row],[Date]]="","",WEEKDAY(Jun[[#This Row],[Date]],11))</f>
        <v>1</v>
      </c>
      <c r="C13" s="5" t="str" cm="1">
        <f t="array" ref="C13">_xlfn.IFNA(_xlfn.XLOOKUP(Jun[[#This Row],[Date]],Obs_day,HN),"")</f>
        <v/>
      </c>
      <c r="D13" s="4">
        <f t="shared" si="0"/>
        <v>45082</v>
      </c>
      <c r="E13" s="61"/>
      <c r="F13" s="58"/>
      <c r="G13" s="61"/>
      <c r="H13" s="61"/>
      <c r="I13" s="62"/>
      <c r="J13" s="60" t="str">
        <f>_xlfn.XLOOKUP(Jun[[#This Row],[Date]],Obs_day,Hol,"")</f>
        <v/>
      </c>
      <c r="L13" s="1">
        <v>45082</v>
      </c>
    </row>
    <row r="14" spans="1:14" x14ac:dyDescent="0.25">
      <c r="A14" s="17" t="str">
        <f>IF(Jun[[#This Row],[Date]]="","",UPPER(TEXT(Jun[[#This Row],[Date]],"DDD")))</f>
        <v>TUE</v>
      </c>
      <c r="B14" s="5">
        <f>IF(Jun[[#This Row],[Date]]="","",WEEKDAY(Jun[[#This Row],[Date]],11))</f>
        <v>2</v>
      </c>
      <c r="C14" s="5" t="str" cm="1">
        <f t="array" ref="C14">_xlfn.IFNA(_xlfn.XLOOKUP(Jun[[#This Row],[Date]],Obs_day,HN),"")</f>
        <v/>
      </c>
      <c r="D14" s="4">
        <f t="shared" si="0"/>
        <v>45083</v>
      </c>
      <c r="E14" s="61"/>
      <c r="F14" s="58"/>
      <c r="G14" s="61"/>
      <c r="H14" s="61"/>
      <c r="I14" s="62"/>
      <c r="J14" s="60" t="str">
        <f>_xlfn.XLOOKUP(Jun[[#This Row],[Date]],Obs_day,Hol,"")</f>
        <v/>
      </c>
      <c r="L14" s="1">
        <v>45083</v>
      </c>
    </row>
    <row r="15" spans="1:14" x14ac:dyDescent="0.25">
      <c r="A15" s="17" t="str">
        <f>IF(Jun[[#This Row],[Date]]="","",UPPER(TEXT(Jun[[#This Row],[Date]],"DDD")))</f>
        <v>WED</v>
      </c>
      <c r="B15" s="5">
        <f>IF(Jun[[#This Row],[Date]]="","",WEEKDAY(Jun[[#This Row],[Date]],11))</f>
        <v>3</v>
      </c>
      <c r="C15" s="5" t="str" cm="1">
        <f t="array" ref="C15">_xlfn.IFNA(_xlfn.XLOOKUP(Jun[[#This Row],[Date]],Obs_day,HN),"")</f>
        <v/>
      </c>
      <c r="D15" s="4">
        <f t="shared" si="0"/>
        <v>45084</v>
      </c>
      <c r="E15" s="61"/>
      <c r="F15" s="58"/>
      <c r="G15" s="61"/>
      <c r="H15" s="61"/>
      <c r="I15" s="62"/>
      <c r="J15" s="60" t="str">
        <f>_xlfn.XLOOKUP(Jun[[#This Row],[Date]],Obs_day,Hol,"")</f>
        <v/>
      </c>
      <c r="L15" s="1">
        <v>45084</v>
      </c>
    </row>
    <row r="16" spans="1:14" x14ac:dyDescent="0.25">
      <c r="A16" s="17" t="str">
        <f>IF(Jun[[#This Row],[Date]]="","",UPPER(TEXT(Jun[[#This Row],[Date]],"DDD")))</f>
        <v>THU</v>
      </c>
      <c r="B16" s="5">
        <f>IF(Jun[[#This Row],[Date]]="","",WEEKDAY(Jun[[#This Row],[Date]],11))</f>
        <v>4</v>
      </c>
      <c r="C16" s="5" t="str" cm="1">
        <f t="array" ref="C16">_xlfn.IFNA(_xlfn.XLOOKUP(Jun[[#This Row],[Date]],Obs_day,HN),"")</f>
        <v/>
      </c>
      <c r="D16" s="4">
        <f t="shared" si="0"/>
        <v>45085</v>
      </c>
      <c r="E16" s="61"/>
      <c r="F16" s="58"/>
      <c r="G16" s="61"/>
      <c r="H16" s="61"/>
      <c r="I16" s="62"/>
      <c r="J16" s="60" t="str">
        <f>_xlfn.XLOOKUP(Jun[[#This Row],[Date]],Obs_day,Hol,"")</f>
        <v/>
      </c>
      <c r="L16" s="1">
        <v>45085</v>
      </c>
    </row>
    <row r="17" spans="1:12" x14ac:dyDescent="0.25">
      <c r="A17" s="17" t="str">
        <f>IF(Jun[[#This Row],[Date]]="","",UPPER(TEXT(Jun[[#This Row],[Date]],"DDD")))</f>
        <v>FRI</v>
      </c>
      <c r="B17" s="5">
        <f>IF(Jun[[#This Row],[Date]]="","",WEEKDAY(Jun[[#This Row],[Date]],11))</f>
        <v>5</v>
      </c>
      <c r="C17" s="5" t="str" cm="1">
        <f t="array" ref="C17">_xlfn.IFNA(_xlfn.XLOOKUP(Jun[[#This Row],[Date]],Obs_day,HN),"")</f>
        <v/>
      </c>
      <c r="D17" s="4">
        <f t="shared" si="0"/>
        <v>45086</v>
      </c>
      <c r="E17" s="61"/>
      <c r="F17" s="58"/>
      <c r="G17" s="61"/>
      <c r="H17" s="61"/>
      <c r="I17" s="62"/>
      <c r="J17" s="60" t="str">
        <f>_xlfn.XLOOKUP(Jun[[#This Row],[Date]],Obs_day,Hol,"")</f>
        <v/>
      </c>
      <c r="L17" s="1">
        <v>45086</v>
      </c>
    </row>
    <row r="18" spans="1:12" x14ac:dyDescent="0.25">
      <c r="A18" s="17" t="str">
        <f>IF(Jun[[#This Row],[Date]]="","",UPPER(TEXT(Jun[[#This Row],[Date]],"DDD")))</f>
        <v>SAT</v>
      </c>
      <c r="B18" s="5">
        <f>IF(Jun[[#This Row],[Date]]="","",WEEKDAY(Jun[[#This Row],[Date]],11))</f>
        <v>6</v>
      </c>
      <c r="C18" s="5" t="str" cm="1">
        <f t="array" ref="C18">_xlfn.IFNA(_xlfn.XLOOKUP(Jun[[#This Row],[Date]],Obs_day,HN),"")</f>
        <v/>
      </c>
      <c r="D18" s="4">
        <f t="shared" si="0"/>
        <v>45087</v>
      </c>
      <c r="E18" s="61"/>
      <c r="F18" s="61"/>
      <c r="G18" s="61"/>
      <c r="H18" s="61"/>
      <c r="I18" s="62"/>
      <c r="J18" s="60" t="str">
        <f>_xlfn.XLOOKUP(Jun[[#This Row],[Date]],Obs_day,Hol,"")</f>
        <v/>
      </c>
      <c r="L18" s="1">
        <v>45087</v>
      </c>
    </row>
    <row r="19" spans="1:12" x14ac:dyDescent="0.25">
      <c r="A19" s="17" t="str">
        <f>IF(Jun[[#This Row],[Date]]="","",UPPER(TEXT(Jun[[#This Row],[Date]],"DDD")))</f>
        <v>SUN</v>
      </c>
      <c r="B19" s="5">
        <f>IF(Jun[[#This Row],[Date]]="","",WEEKDAY(Jun[[#This Row],[Date]],11))</f>
        <v>7</v>
      </c>
      <c r="C19" s="5" t="str" cm="1">
        <f t="array" ref="C19">_xlfn.IFNA(_xlfn.XLOOKUP(Jun[[#This Row],[Date]],Obs_day,HN),"")</f>
        <v/>
      </c>
      <c r="D19" s="4">
        <f t="shared" si="0"/>
        <v>45088</v>
      </c>
      <c r="E19" s="61"/>
      <c r="F19" s="61"/>
      <c r="G19" s="61"/>
      <c r="H19" s="61"/>
      <c r="I19" s="62"/>
      <c r="J19" s="60" t="str">
        <f>_xlfn.XLOOKUP(Jun[[#This Row],[Date]],Obs_day,Hol,"")</f>
        <v/>
      </c>
      <c r="L19" s="1">
        <v>45088</v>
      </c>
    </row>
    <row r="20" spans="1:12" x14ac:dyDescent="0.25">
      <c r="A20" s="17" t="str">
        <f>IF(Jun[[#This Row],[Date]]="","",UPPER(TEXT(Jun[[#This Row],[Date]],"DDD")))</f>
        <v>MON</v>
      </c>
      <c r="B20" s="5">
        <f>IF(Jun[[#This Row],[Date]]="","",WEEKDAY(Jun[[#This Row],[Date]],11))</f>
        <v>1</v>
      </c>
      <c r="C20" s="5" t="str" cm="1">
        <f t="array" ref="C20">_xlfn.IFNA(_xlfn.XLOOKUP(Jun[[#This Row],[Date]],Obs_day,HN),"")</f>
        <v/>
      </c>
      <c r="D20" s="4">
        <f t="shared" si="0"/>
        <v>45089</v>
      </c>
      <c r="E20" s="61"/>
      <c r="F20" s="58"/>
      <c r="G20" s="61"/>
      <c r="H20" s="61"/>
      <c r="I20" s="62"/>
      <c r="J20" s="60" t="str">
        <f>_xlfn.XLOOKUP(Jun[[#This Row],[Date]],Obs_day,Hol,"")</f>
        <v/>
      </c>
      <c r="L20" s="1">
        <v>45089</v>
      </c>
    </row>
    <row r="21" spans="1:12" x14ac:dyDescent="0.25">
      <c r="A21" s="17" t="str">
        <f>IF(Jun[[#This Row],[Date]]="","",UPPER(TEXT(Jun[[#This Row],[Date]],"DDD")))</f>
        <v>TUE</v>
      </c>
      <c r="B21" s="5">
        <f>IF(Jun[[#This Row],[Date]]="","",WEEKDAY(Jun[[#This Row],[Date]],11))</f>
        <v>2</v>
      </c>
      <c r="C21" s="5" t="str" cm="1">
        <f t="array" ref="C21">_xlfn.IFNA(_xlfn.XLOOKUP(Jun[[#This Row],[Date]],Obs_day,HN),"")</f>
        <v/>
      </c>
      <c r="D21" s="4">
        <f t="shared" si="0"/>
        <v>45090</v>
      </c>
      <c r="E21" s="61"/>
      <c r="F21" s="58"/>
      <c r="G21" s="61"/>
      <c r="H21" s="61"/>
      <c r="I21" s="62"/>
      <c r="J21" s="60" t="str">
        <f>_xlfn.XLOOKUP(Jun[[#This Row],[Date]],Obs_day,Hol,"")</f>
        <v/>
      </c>
      <c r="L21" s="1">
        <v>45090</v>
      </c>
    </row>
    <row r="22" spans="1:12" x14ac:dyDescent="0.25">
      <c r="A22" s="17" t="str">
        <f>IF(Jun[[#This Row],[Date]]="","",UPPER(TEXT(Jun[[#This Row],[Date]],"DDD")))</f>
        <v>WED</v>
      </c>
      <c r="B22" s="5">
        <f>IF(Jun[[#This Row],[Date]]="","",WEEKDAY(Jun[[#This Row],[Date]],11))</f>
        <v>3</v>
      </c>
      <c r="C22" s="5" t="str" cm="1">
        <f t="array" ref="C22">_xlfn.IFNA(_xlfn.XLOOKUP(Jun[[#This Row],[Date]],Obs_day,HN),"")</f>
        <v/>
      </c>
      <c r="D22" s="4">
        <f t="shared" si="0"/>
        <v>45091</v>
      </c>
      <c r="E22" s="61"/>
      <c r="F22" s="58"/>
      <c r="G22" s="61"/>
      <c r="H22" s="61"/>
      <c r="I22" s="62"/>
      <c r="J22" s="60" t="str">
        <f>_xlfn.XLOOKUP(Jun[[#This Row],[Date]],Obs_day,Hol,"")</f>
        <v/>
      </c>
      <c r="L22" s="1">
        <v>45091</v>
      </c>
    </row>
    <row r="23" spans="1:12" x14ac:dyDescent="0.25">
      <c r="A23" s="17" t="str">
        <f>IF(Jun[[#This Row],[Date]]="","",UPPER(TEXT(Jun[[#This Row],[Date]],"DDD")))</f>
        <v>THU</v>
      </c>
      <c r="B23" s="5">
        <f>IF(Jun[[#This Row],[Date]]="","",WEEKDAY(Jun[[#This Row],[Date]],11))</f>
        <v>4</v>
      </c>
      <c r="C23" s="5" t="str" cm="1">
        <f t="array" ref="C23">_xlfn.IFNA(_xlfn.XLOOKUP(Jun[[#This Row],[Date]],Obs_day,HN),"")</f>
        <v/>
      </c>
      <c r="D23" s="4">
        <f t="shared" si="0"/>
        <v>45092</v>
      </c>
      <c r="E23" s="61"/>
      <c r="F23" s="58"/>
      <c r="G23" s="61"/>
      <c r="H23" s="61"/>
      <c r="I23" s="62"/>
      <c r="J23" s="60" t="str">
        <f>_xlfn.XLOOKUP(Jun[[#This Row],[Date]],Obs_day,Hol,"")</f>
        <v/>
      </c>
      <c r="L23" s="1">
        <v>45092</v>
      </c>
    </row>
    <row r="24" spans="1:12" x14ac:dyDescent="0.25">
      <c r="A24" s="17" t="str">
        <f>IF(Jun[[#This Row],[Date]]="","",UPPER(TEXT(Jun[[#This Row],[Date]],"DDD")))</f>
        <v>FRI</v>
      </c>
      <c r="B24" s="5">
        <f>IF(Jun[[#This Row],[Date]]="","",WEEKDAY(Jun[[#This Row],[Date]],11))</f>
        <v>5</v>
      </c>
      <c r="C24" s="5" t="str" cm="1">
        <f t="array" ref="C24">_xlfn.IFNA(_xlfn.XLOOKUP(Jun[[#This Row],[Date]],Obs_day,HN),"")</f>
        <v/>
      </c>
      <c r="D24" s="4">
        <f t="shared" si="0"/>
        <v>45093</v>
      </c>
      <c r="E24" s="61"/>
      <c r="F24" s="58"/>
      <c r="G24" s="61"/>
      <c r="H24" s="61"/>
      <c r="I24" s="62"/>
      <c r="J24" s="60" t="str">
        <f>_xlfn.XLOOKUP(Jun[[#This Row],[Date]],Obs_day,Hol,"")</f>
        <v/>
      </c>
      <c r="L24" s="1">
        <v>45093</v>
      </c>
    </row>
    <row r="25" spans="1:12" x14ac:dyDescent="0.25">
      <c r="A25" s="17" t="str">
        <f>IF(Jun[[#This Row],[Date]]="","",UPPER(TEXT(Jun[[#This Row],[Date]],"DDD")))</f>
        <v>SAT</v>
      </c>
      <c r="B25" s="5">
        <f>IF(Jun[[#This Row],[Date]]="","",WEEKDAY(Jun[[#This Row],[Date]],11))</f>
        <v>6</v>
      </c>
      <c r="C25" s="5" t="str" cm="1">
        <f t="array" ref="C25">_xlfn.IFNA(_xlfn.XLOOKUP(Jun[[#This Row],[Date]],Obs_day,HN),"")</f>
        <v/>
      </c>
      <c r="D25" s="4">
        <f t="shared" si="0"/>
        <v>45094</v>
      </c>
      <c r="E25" s="61"/>
      <c r="F25" s="61"/>
      <c r="G25" s="61"/>
      <c r="H25" s="61"/>
      <c r="I25" s="62"/>
      <c r="J25" s="60" t="str">
        <f>_xlfn.XLOOKUP(Jun[[#This Row],[Date]],Obs_day,Hol,"")</f>
        <v/>
      </c>
      <c r="L25" s="1">
        <v>45094</v>
      </c>
    </row>
    <row r="26" spans="1:12" x14ac:dyDescent="0.25">
      <c r="A26" s="17" t="str">
        <f>IF(Jun[[#This Row],[Date]]="","",UPPER(TEXT(Jun[[#This Row],[Date]],"DDD")))</f>
        <v>SUN</v>
      </c>
      <c r="B26" s="5">
        <f>IF(Jun[[#This Row],[Date]]="","",WEEKDAY(Jun[[#This Row],[Date]],11))</f>
        <v>7</v>
      </c>
      <c r="C26" s="5" t="str" cm="1">
        <f t="array" ref="C26">_xlfn.IFNA(_xlfn.XLOOKUP(Jun[[#This Row],[Date]],Obs_day,HN),"")</f>
        <v/>
      </c>
      <c r="D26" s="4">
        <f t="shared" si="0"/>
        <v>45095</v>
      </c>
      <c r="E26" s="61"/>
      <c r="F26" s="61"/>
      <c r="G26" s="61"/>
      <c r="H26" s="61"/>
      <c r="I26" s="62"/>
      <c r="J26" s="60" t="str">
        <f>_xlfn.XLOOKUP(Jun[[#This Row],[Date]],Obs_day,Hol,"")</f>
        <v/>
      </c>
      <c r="L26" s="1">
        <v>45095</v>
      </c>
    </row>
    <row r="27" spans="1:12" x14ac:dyDescent="0.25">
      <c r="A27" s="17" t="str">
        <f>IF(Jun[[#This Row],[Date]]="","",UPPER(TEXT(Jun[[#This Row],[Date]],"DDD")))</f>
        <v>MON</v>
      </c>
      <c r="B27" s="5">
        <f>IF(Jun[[#This Row],[Date]]="","",WEEKDAY(Jun[[#This Row],[Date]],11))</f>
        <v>1</v>
      </c>
      <c r="C27" s="5" cm="1">
        <f t="array" ref="C27">_xlfn.IFNA(_xlfn.XLOOKUP(Jun[[#This Row],[Date]],Obs_day,HN),"")</f>
        <v>1</v>
      </c>
      <c r="D27" s="4">
        <f t="shared" si="0"/>
        <v>45096</v>
      </c>
      <c r="E27" s="61"/>
      <c r="F27" s="61"/>
      <c r="G27" s="61"/>
      <c r="H27" s="61"/>
      <c r="I27" s="62"/>
      <c r="J27" s="64" t="str">
        <f>_xlfn.XLOOKUP(Jun[[#This Row],[Date]],Obs_day,Hol,"")</f>
        <v>Juneteenth</v>
      </c>
      <c r="L27" s="1">
        <v>45096</v>
      </c>
    </row>
    <row r="28" spans="1:12" x14ac:dyDescent="0.25">
      <c r="A28" s="17" t="str">
        <f>IF(Jun[[#This Row],[Date]]="","",UPPER(TEXT(Jun[[#This Row],[Date]],"DDD")))</f>
        <v>TUE</v>
      </c>
      <c r="B28" s="5">
        <f>IF(Jun[[#This Row],[Date]]="","",WEEKDAY(Jun[[#This Row],[Date]],11))</f>
        <v>2</v>
      </c>
      <c r="C28" s="5" t="str" cm="1">
        <f t="array" ref="C28">_xlfn.IFNA(_xlfn.XLOOKUP(Jun[[#This Row],[Date]],Obs_day,HN),"")</f>
        <v/>
      </c>
      <c r="D28" s="4">
        <f t="shared" si="0"/>
        <v>45097</v>
      </c>
      <c r="E28" s="61"/>
      <c r="F28" s="58"/>
      <c r="G28" s="61"/>
      <c r="H28" s="61"/>
      <c r="I28" s="62"/>
      <c r="J28" s="60" t="str">
        <f>_xlfn.XLOOKUP(Jun[[#This Row],[Date]],Obs_day,Hol,"")</f>
        <v/>
      </c>
      <c r="L28" s="1">
        <v>45097</v>
      </c>
    </row>
    <row r="29" spans="1:12" x14ac:dyDescent="0.25">
      <c r="A29" s="17" t="str">
        <f>IF(Jun[[#This Row],[Date]]="","",UPPER(TEXT(Jun[[#This Row],[Date]],"DDD")))</f>
        <v>WED</v>
      </c>
      <c r="B29" s="5">
        <f>IF(Jun[[#This Row],[Date]]="","",WEEKDAY(Jun[[#This Row],[Date]],11))</f>
        <v>3</v>
      </c>
      <c r="C29" s="5" t="str" cm="1">
        <f t="array" ref="C29">_xlfn.IFNA(_xlfn.XLOOKUP(Jun[[#This Row],[Date]],Obs_day,HN),"")</f>
        <v/>
      </c>
      <c r="D29" s="4">
        <f t="shared" si="0"/>
        <v>45098</v>
      </c>
      <c r="E29" s="61"/>
      <c r="F29" s="58"/>
      <c r="G29" s="61"/>
      <c r="H29" s="61"/>
      <c r="I29" s="62"/>
      <c r="J29" s="60" t="str">
        <f>_xlfn.XLOOKUP(Jun[[#This Row],[Date]],Obs_day,Hol,"")</f>
        <v/>
      </c>
      <c r="L29" s="1">
        <v>45098</v>
      </c>
    </row>
    <row r="30" spans="1:12" x14ac:dyDescent="0.25">
      <c r="A30" s="17" t="str">
        <f>IF(Jun[[#This Row],[Date]]="","",UPPER(TEXT(Jun[[#This Row],[Date]],"DDD")))</f>
        <v>THU</v>
      </c>
      <c r="B30" s="5">
        <f>IF(Jun[[#This Row],[Date]]="","",WEEKDAY(Jun[[#This Row],[Date]],11))</f>
        <v>4</v>
      </c>
      <c r="C30" s="5" t="str" cm="1">
        <f t="array" ref="C30">_xlfn.IFNA(_xlfn.XLOOKUP(Jun[[#This Row],[Date]],Obs_day,HN),"")</f>
        <v/>
      </c>
      <c r="D30" s="4">
        <f t="shared" si="0"/>
        <v>45099</v>
      </c>
      <c r="E30" s="61"/>
      <c r="F30" s="58"/>
      <c r="G30" s="61"/>
      <c r="H30" s="61"/>
      <c r="I30" s="62"/>
      <c r="J30" s="60" t="str">
        <f>_xlfn.XLOOKUP(Jun[[#This Row],[Date]],Obs_day,Hol,"")</f>
        <v/>
      </c>
      <c r="L30" s="1">
        <v>45099</v>
      </c>
    </row>
    <row r="31" spans="1:12" x14ac:dyDescent="0.25">
      <c r="A31" s="17" t="str">
        <f>IF(Jun[[#This Row],[Date]]="","",UPPER(TEXT(Jun[[#This Row],[Date]],"DDD")))</f>
        <v>FRI</v>
      </c>
      <c r="B31" s="5">
        <f>IF(Jun[[#This Row],[Date]]="","",WEEKDAY(Jun[[#This Row],[Date]],11))</f>
        <v>5</v>
      </c>
      <c r="C31" s="5" t="str" cm="1">
        <f t="array" ref="C31">_xlfn.IFNA(_xlfn.XLOOKUP(Jun[[#This Row],[Date]],Obs_day,HN),"")</f>
        <v/>
      </c>
      <c r="D31" s="4">
        <f t="shared" si="0"/>
        <v>45100</v>
      </c>
      <c r="E31" s="61"/>
      <c r="F31" s="58"/>
      <c r="G31" s="61"/>
      <c r="H31" s="61"/>
      <c r="I31" s="62"/>
      <c r="J31" s="60" t="str">
        <f>_xlfn.XLOOKUP(Jun[[#This Row],[Date]],Obs_day,Hol,"")</f>
        <v/>
      </c>
      <c r="L31" s="1">
        <v>45100</v>
      </c>
    </row>
    <row r="32" spans="1:12" x14ac:dyDescent="0.25">
      <c r="A32" s="17" t="str">
        <f>IF(Jun[[#This Row],[Date]]="","",UPPER(TEXT(Jun[[#This Row],[Date]],"DDD")))</f>
        <v>SAT</v>
      </c>
      <c r="B32" s="5">
        <f>IF(Jun[[#This Row],[Date]]="","",WEEKDAY(Jun[[#This Row],[Date]],11))</f>
        <v>6</v>
      </c>
      <c r="C32" s="5" t="str" cm="1">
        <f t="array" ref="C32">_xlfn.IFNA(_xlfn.XLOOKUP(Jun[[#This Row],[Date]],Obs_day,HN),"")</f>
        <v/>
      </c>
      <c r="D32" s="4">
        <f t="shared" si="0"/>
        <v>45101</v>
      </c>
      <c r="E32" s="61"/>
      <c r="F32" s="61"/>
      <c r="G32" s="61"/>
      <c r="H32" s="61"/>
      <c r="I32" s="62"/>
      <c r="J32" s="60" t="str">
        <f>_xlfn.XLOOKUP(Jun[[#This Row],[Date]],Obs_day,Hol,"")</f>
        <v/>
      </c>
      <c r="L32" s="1">
        <v>45101</v>
      </c>
    </row>
    <row r="33" spans="1:12" x14ac:dyDescent="0.25">
      <c r="A33" s="17" t="str">
        <f>IF(Jun[[#This Row],[Date]]="","",UPPER(TEXT(Jun[[#This Row],[Date]],"DDD")))</f>
        <v>SUN</v>
      </c>
      <c r="B33" s="5">
        <f>IF(Jun[[#This Row],[Date]]="","",WEEKDAY(Jun[[#This Row],[Date]],11))</f>
        <v>7</v>
      </c>
      <c r="C33" s="5" t="str" cm="1">
        <f t="array" ref="C33">_xlfn.IFNA(_xlfn.XLOOKUP(Jun[[#This Row],[Date]],Obs_day,HN),"")</f>
        <v/>
      </c>
      <c r="D33" s="4">
        <f t="shared" si="0"/>
        <v>45102</v>
      </c>
      <c r="E33" s="61"/>
      <c r="F33" s="61"/>
      <c r="G33" s="61"/>
      <c r="H33" s="61"/>
      <c r="I33" s="62"/>
      <c r="J33" s="60" t="str">
        <f>_xlfn.XLOOKUP(Jun[[#This Row],[Date]],Obs_day,Hol,"")</f>
        <v/>
      </c>
      <c r="L33" s="1">
        <v>45102</v>
      </c>
    </row>
    <row r="34" spans="1:12" x14ac:dyDescent="0.25">
      <c r="A34" s="17" t="str">
        <f>IF(Jun[[#This Row],[Date]]="","",UPPER(TEXT(Jun[[#This Row],[Date]],"DDD")))</f>
        <v>MON</v>
      </c>
      <c r="B34" s="5">
        <f>IF(Jun[[#This Row],[Date]]="","",WEEKDAY(Jun[[#This Row],[Date]],11))</f>
        <v>1</v>
      </c>
      <c r="C34" s="5" t="str" cm="1">
        <f t="array" ref="C34">_xlfn.IFNA(_xlfn.XLOOKUP(Jun[[#This Row],[Date]],Obs_day,HN),"")</f>
        <v/>
      </c>
      <c r="D34" s="4">
        <f t="shared" si="0"/>
        <v>45103</v>
      </c>
      <c r="E34" s="61"/>
      <c r="F34" s="58"/>
      <c r="G34" s="61"/>
      <c r="H34" s="61"/>
      <c r="I34" s="62"/>
      <c r="J34" s="60" t="str">
        <f>_xlfn.XLOOKUP(Jun[[#This Row],[Date]],Obs_day,Hol,"")</f>
        <v/>
      </c>
      <c r="L34" s="1">
        <v>45103</v>
      </c>
    </row>
    <row r="35" spans="1:12" x14ac:dyDescent="0.25">
      <c r="A35" s="17" t="str">
        <f>IF(Jun[[#This Row],[Date]]="","",UPPER(TEXT(Jun[[#This Row],[Date]],"DDD")))</f>
        <v>TUE</v>
      </c>
      <c r="B35" s="5">
        <f>IF(Jun[[#This Row],[Date]]="","",WEEKDAY(Jun[[#This Row],[Date]],11))</f>
        <v>2</v>
      </c>
      <c r="C35" s="5" t="str" cm="1">
        <f t="array" ref="C35">_xlfn.IFNA(_xlfn.XLOOKUP(Jun[[#This Row],[Date]],Obs_day,HN),"")</f>
        <v/>
      </c>
      <c r="D35" s="4">
        <f t="shared" si="0"/>
        <v>45104</v>
      </c>
      <c r="E35" s="61"/>
      <c r="F35" s="58"/>
      <c r="G35" s="61"/>
      <c r="H35" s="61"/>
      <c r="I35" s="62"/>
      <c r="J35" s="60" t="str">
        <f>_xlfn.XLOOKUP(Jun[[#This Row],[Date]],Obs_day,Hol,"")</f>
        <v/>
      </c>
      <c r="L35" s="1">
        <v>45104</v>
      </c>
    </row>
    <row r="36" spans="1:12" x14ac:dyDescent="0.25">
      <c r="A36" s="17" t="str">
        <f>IF(Jun[[#This Row],[Date]]="","",UPPER(TEXT(Jun[[#This Row],[Date]],"DDD")))</f>
        <v>WED</v>
      </c>
      <c r="B36" s="5">
        <f>IF(Jun[[#This Row],[Date]]="","",WEEKDAY(Jun[[#This Row],[Date]],11))</f>
        <v>3</v>
      </c>
      <c r="C36" s="5" t="str" cm="1">
        <f t="array" ref="C36">_xlfn.IFNA(_xlfn.XLOOKUP(Jun[[#This Row],[Date]],Obs_day,HN),"")</f>
        <v/>
      </c>
      <c r="D36" s="4">
        <f t="shared" si="0"/>
        <v>45105</v>
      </c>
      <c r="E36" s="61"/>
      <c r="F36" s="58"/>
      <c r="G36" s="61"/>
      <c r="H36" s="61"/>
      <c r="I36" s="62"/>
      <c r="J36" s="60" t="str">
        <f>_xlfn.XLOOKUP(Jun[[#This Row],[Date]],Obs_day,Hol,"")</f>
        <v/>
      </c>
      <c r="L36" s="1">
        <v>45105</v>
      </c>
    </row>
    <row r="37" spans="1:12" x14ac:dyDescent="0.25">
      <c r="A37" s="17" t="str">
        <f>IF(Jun[[#This Row],[Date]]="","",UPPER(TEXT(Jun[[#This Row],[Date]],"DDD")))</f>
        <v>THU</v>
      </c>
      <c r="B37" s="5">
        <f>IF(Jun[[#This Row],[Date]]="","",WEEKDAY(Jun[[#This Row],[Date]],11))</f>
        <v>4</v>
      </c>
      <c r="C37" s="5" t="str" cm="1">
        <f t="array" ref="C37">_xlfn.IFNA(_xlfn.XLOOKUP(Jun[[#This Row],[Date]],Obs_day,HN),"")</f>
        <v/>
      </c>
      <c r="D37" s="4">
        <f t="shared" si="0"/>
        <v>45106</v>
      </c>
      <c r="E37" s="61"/>
      <c r="F37" s="58"/>
      <c r="G37" s="61"/>
      <c r="H37" s="61"/>
      <c r="I37" s="62"/>
      <c r="J37" s="60" t="str">
        <f>_xlfn.XLOOKUP(Jun[[#This Row],[Date]],Obs_day,Hol,"")</f>
        <v/>
      </c>
      <c r="L37" s="1">
        <v>45106</v>
      </c>
    </row>
    <row r="38" spans="1:12" x14ac:dyDescent="0.25">
      <c r="A38" s="17" t="str">
        <f>IF(Jun[[#This Row],[Date]]="","",UPPER(TEXT(Jun[[#This Row],[Date]],"DDD")))</f>
        <v>FRI</v>
      </c>
      <c r="B38" s="5">
        <f>IF(Jun[[#This Row],[Date]]="","",WEEKDAY(Jun[[#This Row],[Date]],11))</f>
        <v>5</v>
      </c>
      <c r="C38" s="5" t="str" cm="1">
        <f t="array" ref="C38">_xlfn.IFNA(_xlfn.XLOOKUP(Jun[[#This Row],[Date]],Obs_day,HN),"")</f>
        <v/>
      </c>
      <c r="D38" s="4">
        <f t="shared" si="0"/>
        <v>45107</v>
      </c>
      <c r="E38" s="61"/>
      <c r="F38" s="58"/>
      <c r="G38" s="61"/>
      <c r="H38" s="61"/>
      <c r="I38" s="62"/>
      <c r="J38" s="60" t="str">
        <f>_xlfn.XLOOKUP(Jun[[#This Row],[Date]],Obs_day,Hol,"")</f>
        <v/>
      </c>
      <c r="L38" s="1">
        <v>45107</v>
      </c>
    </row>
    <row r="39" spans="1:12" x14ac:dyDescent="0.25">
      <c r="A39" s="30"/>
      <c r="B39" s="31"/>
      <c r="C39" s="31"/>
      <c r="D39" s="32"/>
      <c r="E39" s="34">
        <f>SUBTOTAL(109,Jun[Vacation
Hours])</f>
        <v>0</v>
      </c>
      <c r="F39" s="34">
        <f>SUBTOTAL(109,Jun[Sick
Hours])</f>
        <v>0</v>
      </c>
      <c r="G39" s="34">
        <f>SUBTOTAL(109,Jun[Float.
Hours])</f>
        <v>0</v>
      </c>
      <c r="H39" s="34">
        <f>SUBTOTAL(109,Jun[Other
Hours])</f>
        <v>0</v>
      </c>
      <c r="I39" s="28"/>
      <c r="J39" s="29"/>
      <c r="L39" s="1"/>
    </row>
    <row r="40" spans="1:12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ht="15.75" thickBot="1" x14ac:dyDescent="0.3">
      <c r="A42" s="66"/>
      <c r="B42" s="66"/>
      <c r="C42" s="66"/>
      <c r="D42" s="66"/>
      <c r="E42" s="66"/>
      <c r="F42" s="66"/>
      <c r="G42" s="66"/>
      <c r="H42" s="65"/>
      <c r="I42" s="65"/>
      <c r="J42" s="65"/>
    </row>
    <row r="43" spans="1:12" x14ac:dyDescent="0.25">
      <c r="A43" s="7" t="s">
        <v>38</v>
      </c>
      <c r="B43" s="7"/>
      <c r="C43" s="7"/>
      <c r="D43" s="7"/>
      <c r="E43" s="7"/>
      <c r="F43" s="7"/>
      <c r="G43" s="7" t="s">
        <v>7</v>
      </c>
    </row>
    <row r="44" spans="1:12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2" ht="15.75" thickBot="1" x14ac:dyDescent="0.3">
      <c r="A45" s="66"/>
      <c r="B45" s="66"/>
      <c r="C45" s="66"/>
      <c r="D45" s="66"/>
      <c r="E45" s="66"/>
      <c r="F45" s="66"/>
      <c r="G45" s="66"/>
      <c r="H45" s="65"/>
      <c r="I45" s="65"/>
      <c r="J45" s="65"/>
    </row>
    <row r="46" spans="1:12" x14ac:dyDescent="0.25">
      <c r="A46" s="7" t="s">
        <v>39</v>
      </c>
      <c r="G46" s="7" t="s">
        <v>7</v>
      </c>
    </row>
  </sheetData>
  <sheetProtection algorithmName="SHA-512" hashValue="6XnCVt4+Adi9+Cjk7vxt4ycSQXyMN71vbCOOYXKSWZJXTttGPCZ6POEabxJooi96J2mHxb3arcAJWi/Kiu2Ttw==" saltValue="difRVSh0vJKu/ZXKLjF6kQ==" spinCount="100000" sheet="1" objects="1" scenarios="1"/>
  <mergeCells count="2">
    <mergeCell ref="D5:F5"/>
    <mergeCell ref="D6:F6"/>
  </mergeCells>
  <conditionalFormatting sqref="E9:J38">
    <cfRule type="expression" dxfId="115" priority="1">
      <formula>$C9=1</formula>
    </cfRule>
    <cfRule type="expression" dxfId="114" priority="2">
      <formula>$B9&gt;5</formula>
    </cfRule>
  </conditionalFormatting>
  <dataValidations count="2">
    <dataValidation type="list" allowBlank="1" showInputMessage="1" showErrorMessage="1" sqref="I9:I38" xr:uid="{D3AEB8A1-1034-4D43-B588-F9D5C4F94EA5}">
      <formula1>Codes_for_Other</formula1>
    </dataValidation>
    <dataValidation allowBlank="1" showInputMessage="1" showErrorMessage="1" promptTitle="Personal Information Update" prompt="Enter your Name, ID, and Location in the Jan sheet." sqref="D5:F5" xr:uid="{D87999D8-0667-4270-9B6E-9D502C16FF0C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EEB9F5-3E0A-4B1B-AAFA-867AC77ECC9E}">
  <sheetPr>
    <pageSetUpPr fitToPage="1"/>
  </sheetPr>
  <dimension ref="A1:N47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EOMONTH(Jan!J4,5)+1</f>
        <v>45108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COUNT(Jul[Date])</f>
        <v>31</v>
      </c>
    </row>
    <row r="7" spans="1:14" x14ac:dyDescent="0.25">
      <c r="L7">
        <f>_xlfn.DAYS(EOMONTH(J4,0)+1,J4)</f>
        <v>31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Jul Date</v>
      </c>
    </row>
    <row r="9" spans="1:14" ht="15.75" thickTop="1" x14ac:dyDescent="0.25">
      <c r="A9" s="18" t="str">
        <f>IF(Jul[[#This Row],[Date]]="","",UPPER(TEXT(Jul[[#This Row],[Date]],"DDD")))</f>
        <v>SAT</v>
      </c>
      <c r="B9" s="5">
        <f>IF(Jul[[#This Row],[Date]]="","",WEEKDAY(Jul[[#This Row],[Date]],11))</f>
        <v>6</v>
      </c>
      <c r="C9" s="5" t="str" cm="1">
        <f t="array" ref="C9">_xlfn.IFNA(_xlfn.XLOOKUP(Jul[[#This Row],[Date]],Obs_day,HN),"")</f>
        <v/>
      </c>
      <c r="D9" s="3">
        <f>IF(L9&gt;0,L9,"")</f>
        <v>45108</v>
      </c>
      <c r="E9" s="58"/>
      <c r="F9" s="58"/>
      <c r="G9" s="58"/>
      <c r="H9" s="58"/>
      <c r="I9" s="59"/>
      <c r="J9" s="60" t="str">
        <f>_xlfn.XLOOKUP(Jul[[#This Row],[Date]],Obs_day,Hol,"")</f>
        <v/>
      </c>
      <c r="L9" s="1" cm="1">
        <f t="array" ref="L9:L39">_xlfn.SEQUENCE(L7,1,J4,1)</f>
        <v>45108</v>
      </c>
      <c r="N9" s="41"/>
    </row>
    <row r="10" spans="1:14" x14ac:dyDescent="0.25">
      <c r="A10" s="17" t="str">
        <f>IF(Jul[[#This Row],[Date]]="","",UPPER(TEXT(Jul[[#This Row],[Date]],"DDD")))</f>
        <v>SUN</v>
      </c>
      <c r="B10" s="5">
        <f>IF(Jul[[#This Row],[Date]]="","",WEEKDAY(Jul[[#This Row],[Date]],11))</f>
        <v>7</v>
      </c>
      <c r="C10" s="5" t="str" cm="1">
        <f t="array" ref="C10">_xlfn.IFNA(_xlfn.XLOOKUP(Jul[[#This Row],[Date]],Obs_day,HN),"")</f>
        <v/>
      </c>
      <c r="D10" s="4">
        <f t="shared" ref="D10:D39" si="0">IF(L10&gt;0,L10,"")</f>
        <v>45109</v>
      </c>
      <c r="E10" s="61"/>
      <c r="F10" s="61"/>
      <c r="G10" s="61"/>
      <c r="H10" s="61"/>
      <c r="I10" s="62"/>
      <c r="J10" s="60" t="str">
        <f>_xlfn.XLOOKUP(Jul[[#This Row],[Date]],Obs_day,Hol,"")</f>
        <v/>
      </c>
      <c r="L10" s="1">
        <v>45109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IF(Jul[[#This Row],[Date]]="","",UPPER(TEXT(Jul[[#This Row],[Date]],"DDD")))</f>
        <v>MON</v>
      </c>
      <c r="B11" s="5">
        <f>IF(Jul[[#This Row],[Date]]="","",WEEKDAY(Jul[[#This Row],[Date]],11))</f>
        <v>1</v>
      </c>
      <c r="C11" s="5" t="str" cm="1">
        <f t="array" ref="C11">_xlfn.IFNA(_xlfn.XLOOKUP(Jul[[#This Row],[Date]],Obs_day,HN),"")</f>
        <v/>
      </c>
      <c r="D11" s="4">
        <f t="shared" si="0"/>
        <v>45110</v>
      </c>
      <c r="E11" s="61"/>
      <c r="F11" s="61"/>
      <c r="G11" s="61"/>
      <c r="H11" s="61"/>
      <c r="I11" s="62"/>
      <c r="J11" s="60" t="str">
        <f>_xlfn.XLOOKUP(Jul[[#This Row],[Date]],Obs_day,Hol,"")</f>
        <v/>
      </c>
      <c r="L11" s="1">
        <v>45110</v>
      </c>
    </row>
    <row r="12" spans="1:14" x14ac:dyDescent="0.25">
      <c r="A12" s="17" t="str">
        <f>IF(Jul[[#This Row],[Date]]="","",UPPER(TEXT(Jul[[#This Row],[Date]],"DDD")))</f>
        <v>TUE</v>
      </c>
      <c r="B12" s="5">
        <f>IF(Jul[[#This Row],[Date]]="","",WEEKDAY(Jul[[#This Row],[Date]],11))</f>
        <v>2</v>
      </c>
      <c r="C12" s="5" cm="1">
        <f t="array" ref="C12">_xlfn.IFNA(_xlfn.XLOOKUP(Jul[[#This Row],[Date]],Obs_day,HN),"")</f>
        <v>1</v>
      </c>
      <c r="D12" s="4">
        <f t="shared" si="0"/>
        <v>45111</v>
      </c>
      <c r="E12" s="61"/>
      <c r="F12" s="61"/>
      <c r="G12" s="61"/>
      <c r="H12" s="61"/>
      <c r="I12" s="62"/>
      <c r="J12" s="60" t="str">
        <f>_xlfn.XLOOKUP(Jul[[#This Row],[Date]],Obs_day,Hol,"")</f>
        <v>Independence Day</v>
      </c>
      <c r="L12" s="1">
        <v>45111</v>
      </c>
    </row>
    <row r="13" spans="1:14" x14ac:dyDescent="0.25">
      <c r="A13" s="17" t="str">
        <f>IF(Jul[[#This Row],[Date]]="","",UPPER(TEXT(Jul[[#This Row],[Date]],"DDD")))</f>
        <v>WED</v>
      </c>
      <c r="B13" s="5">
        <f>IF(Jul[[#This Row],[Date]]="","",WEEKDAY(Jul[[#This Row],[Date]],11))</f>
        <v>3</v>
      </c>
      <c r="C13" s="5" t="str" cm="1">
        <f t="array" ref="C13">_xlfn.IFNA(_xlfn.XLOOKUP(Jul[[#This Row],[Date]],Obs_day,HN),"")</f>
        <v/>
      </c>
      <c r="D13" s="4">
        <f t="shared" si="0"/>
        <v>45112</v>
      </c>
      <c r="E13" s="61"/>
      <c r="F13" s="61"/>
      <c r="G13" s="61"/>
      <c r="H13" s="61"/>
      <c r="I13" s="62"/>
      <c r="J13" s="60" t="str">
        <f>_xlfn.XLOOKUP(Jul[[#This Row],[Date]],Obs_day,Hol,"")</f>
        <v/>
      </c>
      <c r="L13" s="1">
        <v>45112</v>
      </c>
    </row>
    <row r="14" spans="1:14" x14ac:dyDescent="0.25">
      <c r="A14" s="17" t="str">
        <f>IF(Jul[[#This Row],[Date]]="","",UPPER(TEXT(Jul[[#This Row],[Date]],"DDD")))</f>
        <v>THU</v>
      </c>
      <c r="B14" s="5">
        <f>IF(Jul[[#This Row],[Date]]="","",WEEKDAY(Jul[[#This Row],[Date]],11))</f>
        <v>4</v>
      </c>
      <c r="C14" s="5" t="str" cm="1">
        <f t="array" ref="C14">_xlfn.IFNA(_xlfn.XLOOKUP(Jul[[#This Row],[Date]],Obs_day,HN),"")</f>
        <v/>
      </c>
      <c r="D14" s="4">
        <f t="shared" si="0"/>
        <v>45113</v>
      </c>
      <c r="E14" s="61"/>
      <c r="F14" s="61"/>
      <c r="G14" s="61"/>
      <c r="H14" s="61"/>
      <c r="I14" s="62"/>
      <c r="J14" s="60" t="str">
        <f>_xlfn.XLOOKUP(Jul[[#This Row],[Date]],Obs_day,Hol,"")</f>
        <v/>
      </c>
      <c r="L14" s="1">
        <v>45113</v>
      </c>
    </row>
    <row r="15" spans="1:14" x14ac:dyDescent="0.25">
      <c r="A15" s="17" t="str">
        <f>IF(Jul[[#This Row],[Date]]="","",UPPER(TEXT(Jul[[#This Row],[Date]],"DDD")))</f>
        <v>FRI</v>
      </c>
      <c r="B15" s="5">
        <f>IF(Jul[[#This Row],[Date]]="","",WEEKDAY(Jul[[#This Row],[Date]],11))</f>
        <v>5</v>
      </c>
      <c r="C15" s="5" t="str" cm="1">
        <f t="array" ref="C15">_xlfn.IFNA(_xlfn.XLOOKUP(Jul[[#This Row],[Date]],Obs_day,HN),"")</f>
        <v/>
      </c>
      <c r="D15" s="4">
        <f t="shared" si="0"/>
        <v>45114</v>
      </c>
      <c r="E15" s="61"/>
      <c r="F15" s="61"/>
      <c r="G15" s="61"/>
      <c r="H15" s="61"/>
      <c r="I15" s="62"/>
      <c r="J15" s="60" t="str">
        <f>_xlfn.XLOOKUP(Jul[[#This Row],[Date]],Obs_day,Hol,"")</f>
        <v/>
      </c>
      <c r="L15" s="1">
        <v>45114</v>
      </c>
    </row>
    <row r="16" spans="1:14" x14ac:dyDescent="0.25">
      <c r="A16" s="17" t="str">
        <f>IF(Jul[[#This Row],[Date]]="","",UPPER(TEXT(Jul[[#This Row],[Date]],"DDD")))</f>
        <v>SAT</v>
      </c>
      <c r="B16" s="5">
        <f>IF(Jul[[#This Row],[Date]]="","",WEEKDAY(Jul[[#This Row],[Date]],11))</f>
        <v>6</v>
      </c>
      <c r="C16" s="5" t="str" cm="1">
        <f t="array" ref="C16">_xlfn.IFNA(_xlfn.XLOOKUP(Jul[[#This Row],[Date]],Obs_day,HN),"")</f>
        <v/>
      </c>
      <c r="D16" s="4">
        <f t="shared" si="0"/>
        <v>45115</v>
      </c>
      <c r="E16" s="61"/>
      <c r="F16" s="61"/>
      <c r="G16" s="61"/>
      <c r="H16" s="61"/>
      <c r="I16" s="62"/>
      <c r="J16" s="60" t="str">
        <f>_xlfn.XLOOKUP(Jul[[#This Row],[Date]],Obs_day,Hol,"")</f>
        <v/>
      </c>
      <c r="L16" s="1">
        <v>45115</v>
      </c>
    </row>
    <row r="17" spans="1:12" x14ac:dyDescent="0.25">
      <c r="A17" s="17" t="str">
        <f>IF(Jul[[#This Row],[Date]]="","",UPPER(TEXT(Jul[[#This Row],[Date]],"DDD")))</f>
        <v>SUN</v>
      </c>
      <c r="B17" s="5">
        <f>IF(Jul[[#This Row],[Date]]="","",WEEKDAY(Jul[[#This Row],[Date]],11))</f>
        <v>7</v>
      </c>
      <c r="C17" s="5" t="str" cm="1">
        <f t="array" ref="C17">_xlfn.IFNA(_xlfn.XLOOKUP(Jul[[#This Row],[Date]],Obs_day,HN),"")</f>
        <v/>
      </c>
      <c r="D17" s="4">
        <f t="shared" si="0"/>
        <v>45116</v>
      </c>
      <c r="E17" s="61"/>
      <c r="F17" s="61"/>
      <c r="G17" s="61"/>
      <c r="H17" s="61"/>
      <c r="I17" s="62"/>
      <c r="J17" s="60" t="str">
        <f>_xlfn.XLOOKUP(Jul[[#This Row],[Date]],Obs_day,Hol,"")</f>
        <v/>
      </c>
      <c r="L17" s="1">
        <v>45116</v>
      </c>
    </row>
    <row r="18" spans="1:12" x14ac:dyDescent="0.25">
      <c r="A18" s="17" t="str">
        <f>IF(Jul[[#This Row],[Date]]="","",UPPER(TEXT(Jul[[#This Row],[Date]],"DDD")))</f>
        <v>MON</v>
      </c>
      <c r="B18" s="5">
        <f>IF(Jul[[#This Row],[Date]]="","",WEEKDAY(Jul[[#This Row],[Date]],11))</f>
        <v>1</v>
      </c>
      <c r="C18" s="5" t="str" cm="1">
        <f t="array" ref="C18">_xlfn.IFNA(_xlfn.XLOOKUP(Jul[[#This Row],[Date]],Obs_day,HN),"")</f>
        <v/>
      </c>
      <c r="D18" s="4">
        <f t="shared" si="0"/>
        <v>45117</v>
      </c>
      <c r="E18" s="61"/>
      <c r="F18" s="61"/>
      <c r="G18" s="61"/>
      <c r="H18" s="61"/>
      <c r="I18" s="62"/>
      <c r="J18" s="60" t="str">
        <f>_xlfn.XLOOKUP(Jul[[#This Row],[Date]],Obs_day,Hol,"")</f>
        <v/>
      </c>
      <c r="L18" s="1">
        <v>45117</v>
      </c>
    </row>
    <row r="19" spans="1:12" x14ac:dyDescent="0.25">
      <c r="A19" s="17" t="str">
        <f>IF(Jul[[#This Row],[Date]]="","",UPPER(TEXT(Jul[[#This Row],[Date]],"DDD")))</f>
        <v>TUE</v>
      </c>
      <c r="B19" s="5">
        <f>IF(Jul[[#This Row],[Date]]="","",WEEKDAY(Jul[[#This Row],[Date]],11))</f>
        <v>2</v>
      </c>
      <c r="C19" s="5" t="str" cm="1">
        <f t="array" ref="C19">_xlfn.IFNA(_xlfn.XLOOKUP(Jul[[#This Row],[Date]],Obs_day,HN),"")</f>
        <v/>
      </c>
      <c r="D19" s="4">
        <f t="shared" si="0"/>
        <v>45118</v>
      </c>
      <c r="E19" s="61"/>
      <c r="F19" s="61"/>
      <c r="G19" s="61"/>
      <c r="H19" s="61"/>
      <c r="I19" s="62"/>
      <c r="J19" s="60" t="str">
        <f>_xlfn.XLOOKUP(Jul[[#This Row],[Date]],Obs_day,Hol,"")</f>
        <v/>
      </c>
      <c r="L19" s="1">
        <v>45118</v>
      </c>
    </row>
    <row r="20" spans="1:12" x14ac:dyDescent="0.25">
      <c r="A20" s="17" t="str">
        <f>IF(Jul[[#This Row],[Date]]="","",UPPER(TEXT(Jul[[#This Row],[Date]],"DDD")))</f>
        <v>WED</v>
      </c>
      <c r="B20" s="5">
        <f>IF(Jul[[#This Row],[Date]]="","",WEEKDAY(Jul[[#This Row],[Date]],11))</f>
        <v>3</v>
      </c>
      <c r="C20" s="5" t="str" cm="1">
        <f t="array" ref="C20">_xlfn.IFNA(_xlfn.XLOOKUP(Jul[[#This Row],[Date]],Obs_day,HN),"")</f>
        <v/>
      </c>
      <c r="D20" s="4">
        <f t="shared" si="0"/>
        <v>45119</v>
      </c>
      <c r="E20" s="61"/>
      <c r="F20" s="61"/>
      <c r="G20" s="61"/>
      <c r="H20" s="61"/>
      <c r="I20" s="62"/>
      <c r="J20" s="60" t="str">
        <f>_xlfn.XLOOKUP(Jul[[#This Row],[Date]],Obs_day,Hol,"")</f>
        <v/>
      </c>
      <c r="L20" s="1">
        <v>45119</v>
      </c>
    </row>
    <row r="21" spans="1:12" x14ac:dyDescent="0.25">
      <c r="A21" s="17" t="str">
        <f>IF(Jul[[#This Row],[Date]]="","",UPPER(TEXT(Jul[[#This Row],[Date]],"DDD")))</f>
        <v>THU</v>
      </c>
      <c r="B21" s="5">
        <f>IF(Jul[[#This Row],[Date]]="","",WEEKDAY(Jul[[#This Row],[Date]],11))</f>
        <v>4</v>
      </c>
      <c r="C21" s="5" t="str" cm="1">
        <f t="array" ref="C21">_xlfn.IFNA(_xlfn.XLOOKUP(Jul[[#This Row],[Date]],Obs_day,HN),"")</f>
        <v/>
      </c>
      <c r="D21" s="4">
        <f t="shared" si="0"/>
        <v>45120</v>
      </c>
      <c r="E21" s="61"/>
      <c r="F21" s="61"/>
      <c r="G21" s="61"/>
      <c r="H21" s="61"/>
      <c r="I21" s="62"/>
      <c r="J21" s="60" t="str">
        <f>_xlfn.XLOOKUP(Jul[[#This Row],[Date]],Obs_day,Hol,"")</f>
        <v/>
      </c>
      <c r="L21" s="1">
        <v>45120</v>
      </c>
    </row>
    <row r="22" spans="1:12" x14ac:dyDescent="0.25">
      <c r="A22" s="17" t="str">
        <f>IF(Jul[[#This Row],[Date]]="","",UPPER(TEXT(Jul[[#This Row],[Date]],"DDD")))</f>
        <v>FRI</v>
      </c>
      <c r="B22" s="5">
        <f>IF(Jul[[#This Row],[Date]]="","",WEEKDAY(Jul[[#This Row],[Date]],11))</f>
        <v>5</v>
      </c>
      <c r="C22" s="5" t="str" cm="1">
        <f t="array" ref="C22">_xlfn.IFNA(_xlfn.XLOOKUP(Jul[[#This Row],[Date]],Obs_day,HN),"")</f>
        <v/>
      </c>
      <c r="D22" s="4">
        <f t="shared" si="0"/>
        <v>45121</v>
      </c>
      <c r="E22" s="61"/>
      <c r="F22" s="61"/>
      <c r="G22" s="61"/>
      <c r="H22" s="61"/>
      <c r="I22" s="62"/>
      <c r="J22" s="60" t="str">
        <f>_xlfn.XLOOKUP(Jul[[#This Row],[Date]],Obs_day,Hol,"")</f>
        <v/>
      </c>
      <c r="L22" s="1">
        <v>45121</v>
      </c>
    </row>
    <row r="23" spans="1:12" x14ac:dyDescent="0.25">
      <c r="A23" s="17" t="str">
        <f>IF(Jul[[#This Row],[Date]]="","",UPPER(TEXT(Jul[[#This Row],[Date]],"DDD")))</f>
        <v>SAT</v>
      </c>
      <c r="B23" s="5">
        <f>IF(Jul[[#This Row],[Date]]="","",WEEKDAY(Jul[[#This Row],[Date]],11))</f>
        <v>6</v>
      </c>
      <c r="C23" s="5" t="str" cm="1">
        <f t="array" ref="C23">_xlfn.IFNA(_xlfn.XLOOKUP(Jul[[#This Row],[Date]],Obs_day,HN),"")</f>
        <v/>
      </c>
      <c r="D23" s="4">
        <f t="shared" si="0"/>
        <v>45122</v>
      </c>
      <c r="E23" s="61"/>
      <c r="F23" s="61"/>
      <c r="G23" s="61"/>
      <c r="H23" s="61"/>
      <c r="I23" s="62"/>
      <c r="J23" s="60" t="str">
        <f>_xlfn.XLOOKUP(Jul[[#This Row],[Date]],Obs_day,Hol,"")</f>
        <v/>
      </c>
      <c r="L23" s="1">
        <v>45122</v>
      </c>
    </row>
    <row r="24" spans="1:12" x14ac:dyDescent="0.25">
      <c r="A24" s="17" t="str">
        <f>IF(Jul[[#This Row],[Date]]="","",UPPER(TEXT(Jul[[#This Row],[Date]],"DDD")))</f>
        <v>SUN</v>
      </c>
      <c r="B24" s="5">
        <f>IF(Jul[[#This Row],[Date]]="","",WEEKDAY(Jul[[#This Row],[Date]],11))</f>
        <v>7</v>
      </c>
      <c r="C24" s="5" t="str" cm="1">
        <f t="array" ref="C24">_xlfn.IFNA(_xlfn.XLOOKUP(Jul[[#This Row],[Date]],Obs_day,HN),"")</f>
        <v/>
      </c>
      <c r="D24" s="4">
        <f t="shared" si="0"/>
        <v>45123</v>
      </c>
      <c r="E24" s="61"/>
      <c r="F24" s="61"/>
      <c r="G24" s="61"/>
      <c r="H24" s="61"/>
      <c r="I24" s="62"/>
      <c r="J24" s="60" t="str">
        <f>_xlfn.XLOOKUP(Jul[[#This Row],[Date]],Obs_day,Hol,"")</f>
        <v/>
      </c>
      <c r="L24" s="1">
        <v>45123</v>
      </c>
    </row>
    <row r="25" spans="1:12" x14ac:dyDescent="0.25">
      <c r="A25" s="17" t="str">
        <f>IF(Jul[[#This Row],[Date]]="","",UPPER(TEXT(Jul[[#This Row],[Date]],"DDD")))</f>
        <v>MON</v>
      </c>
      <c r="B25" s="5">
        <f>IF(Jul[[#This Row],[Date]]="","",WEEKDAY(Jul[[#This Row],[Date]],11))</f>
        <v>1</v>
      </c>
      <c r="C25" s="5" t="str" cm="1">
        <f t="array" ref="C25">_xlfn.IFNA(_xlfn.XLOOKUP(Jul[[#This Row],[Date]],Obs_day,HN),"")</f>
        <v/>
      </c>
      <c r="D25" s="4">
        <f t="shared" si="0"/>
        <v>45124</v>
      </c>
      <c r="E25" s="61"/>
      <c r="F25" s="61"/>
      <c r="G25" s="61"/>
      <c r="H25" s="61"/>
      <c r="I25" s="62"/>
      <c r="J25" s="60" t="str">
        <f>_xlfn.XLOOKUP(Jul[[#This Row],[Date]],Obs_day,Hol,"")</f>
        <v/>
      </c>
      <c r="L25" s="1">
        <v>45124</v>
      </c>
    </row>
    <row r="26" spans="1:12" x14ac:dyDescent="0.25">
      <c r="A26" s="17" t="str">
        <f>IF(Jul[[#This Row],[Date]]="","",UPPER(TEXT(Jul[[#This Row],[Date]],"DDD")))</f>
        <v>TUE</v>
      </c>
      <c r="B26" s="5">
        <f>IF(Jul[[#This Row],[Date]]="","",WEEKDAY(Jul[[#This Row],[Date]],11))</f>
        <v>2</v>
      </c>
      <c r="C26" s="5" t="str" cm="1">
        <f t="array" ref="C26">_xlfn.IFNA(_xlfn.XLOOKUP(Jul[[#This Row],[Date]],Obs_day,HN),"")</f>
        <v/>
      </c>
      <c r="D26" s="4">
        <f t="shared" si="0"/>
        <v>45125</v>
      </c>
      <c r="E26" s="61"/>
      <c r="F26" s="61"/>
      <c r="G26" s="61"/>
      <c r="H26" s="61"/>
      <c r="I26" s="62"/>
      <c r="J26" s="60" t="str">
        <f>_xlfn.XLOOKUP(Jul[[#This Row],[Date]],Obs_day,Hol,"")</f>
        <v/>
      </c>
      <c r="L26" s="1">
        <v>45125</v>
      </c>
    </row>
    <row r="27" spans="1:12" x14ac:dyDescent="0.25">
      <c r="A27" s="17" t="str">
        <f>IF(Jul[[#This Row],[Date]]="","",UPPER(TEXT(Jul[[#This Row],[Date]],"DDD")))</f>
        <v>WED</v>
      </c>
      <c r="B27" s="5">
        <f>IF(Jul[[#This Row],[Date]]="","",WEEKDAY(Jul[[#This Row],[Date]],11))</f>
        <v>3</v>
      </c>
      <c r="C27" s="5" t="str" cm="1">
        <f t="array" ref="C27">_xlfn.IFNA(_xlfn.XLOOKUP(Jul[[#This Row],[Date]],Obs_day,HN),"")</f>
        <v/>
      </c>
      <c r="D27" s="4">
        <f t="shared" si="0"/>
        <v>45126</v>
      </c>
      <c r="E27" s="61"/>
      <c r="F27" s="61"/>
      <c r="G27" s="61"/>
      <c r="H27" s="61"/>
      <c r="I27" s="62"/>
      <c r="J27" s="60" t="str">
        <f>_xlfn.XLOOKUP(Jul[[#This Row],[Date]],Obs_day,Hol,"")</f>
        <v/>
      </c>
      <c r="L27" s="1">
        <v>45126</v>
      </c>
    </row>
    <row r="28" spans="1:12" x14ac:dyDescent="0.25">
      <c r="A28" s="17" t="str">
        <f>IF(Jul[[#This Row],[Date]]="","",UPPER(TEXT(Jul[[#This Row],[Date]],"DDD")))</f>
        <v>THU</v>
      </c>
      <c r="B28" s="5">
        <f>IF(Jul[[#This Row],[Date]]="","",WEEKDAY(Jul[[#This Row],[Date]],11))</f>
        <v>4</v>
      </c>
      <c r="C28" s="5" t="str" cm="1">
        <f t="array" ref="C28">_xlfn.IFNA(_xlfn.XLOOKUP(Jul[[#This Row],[Date]],Obs_day,HN),"")</f>
        <v/>
      </c>
      <c r="D28" s="4">
        <f t="shared" si="0"/>
        <v>45127</v>
      </c>
      <c r="E28" s="61"/>
      <c r="F28" s="61"/>
      <c r="G28" s="61"/>
      <c r="H28" s="61"/>
      <c r="I28" s="62"/>
      <c r="J28" s="60" t="str">
        <f>_xlfn.XLOOKUP(Jul[[#This Row],[Date]],Obs_day,Hol,"")</f>
        <v/>
      </c>
      <c r="L28" s="1">
        <v>45127</v>
      </c>
    </row>
    <row r="29" spans="1:12" x14ac:dyDescent="0.25">
      <c r="A29" s="17" t="str">
        <f>IF(Jul[[#This Row],[Date]]="","",UPPER(TEXT(Jul[[#This Row],[Date]],"DDD")))</f>
        <v>FRI</v>
      </c>
      <c r="B29" s="5">
        <f>IF(Jul[[#This Row],[Date]]="","",WEEKDAY(Jul[[#This Row],[Date]],11))</f>
        <v>5</v>
      </c>
      <c r="C29" s="5" t="str" cm="1">
        <f t="array" ref="C29">_xlfn.IFNA(_xlfn.XLOOKUP(Jul[[#This Row],[Date]],Obs_day,HN),"")</f>
        <v/>
      </c>
      <c r="D29" s="4">
        <f t="shared" si="0"/>
        <v>45128</v>
      </c>
      <c r="E29" s="61"/>
      <c r="F29" s="61"/>
      <c r="G29" s="61"/>
      <c r="H29" s="61"/>
      <c r="I29" s="62"/>
      <c r="J29" s="60" t="str">
        <f>_xlfn.XLOOKUP(Jul[[#This Row],[Date]],Obs_day,Hol,"")</f>
        <v/>
      </c>
      <c r="L29" s="1">
        <v>45128</v>
      </c>
    </row>
    <row r="30" spans="1:12" x14ac:dyDescent="0.25">
      <c r="A30" s="17" t="str">
        <f>IF(Jul[[#This Row],[Date]]="","",UPPER(TEXT(Jul[[#This Row],[Date]],"DDD")))</f>
        <v>SAT</v>
      </c>
      <c r="B30" s="5">
        <f>IF(Jul[[#This Row],[Date]]="","",WEEKDAY(Jul[[#This Row],[Date]],11))</f>
        <v>6</v>
      </c>
      <c r="C30" s="5" t="str" cm="1">
        <f t="array" ref="C30">_xlfn.IFNA(_xlfn.XLOOKUP(Jul[[#This Row],[Date]],Obs_day,HN),"")</f>
        <v/>
      </c>
      <c r="D30" s="4">
        <f t="shared" si="0"/>
        <v>45129</v>
      </c>
      <c r="E30" s="61"/>
      <c r="F30" s="61"/>
      <c r="G30" s="61"/>
      <c r="H30" s="61"/>
      <c r="I30" s="62"/>
      <c r="J30" s="60" t="str">
        <f>_xlfn.XLOOKUP(Jul[[#This Row],[Date]],Obs_day,Hol,"")</f>
        <v/>
      </c>
      <c r="L30" s="1">
        <v>45129</v>
      </c>
    </row>
    <row r="31" spans="1:12" x14ac:dyDescent="0.25">
      <c r="A31" s="17" t="str">
        <f>IF(Jul[[#This Row],[Date]]="","",UPPER(TEXT(Jul[[#This Row],[Date]],"DDD")))</f>
        <v>SUN</v>
      </c>
      <c r="B31" s="5">
        <f>IF(Jul[[#This Row],[Date]]="","",WEEKDAY(Jul[[#This Row],[Date]],11))</f>
        <v>7</v>
      </c>
      <c r="C31" s="5" t="str" cm="1">
        <f t="array" ref="C31">_xlfn.IFNA(_xlfn.XLOOKUP(Jul[[#This Row],[Date]],Obs_day,HN),"")</f>
        <v/>
      </c>
      <c r="D31" s="4">
        <f t="shared" si="0"/>
        <v>45130</v>
      </c>
      <c r="E31" s="61"/>
      <c r="F31" s="61"/>
      <c r="G31" s="61"/>
      <c r="H31" s="61"/>
      <c r="I31" s="62"/>
      <c r="J31" s="60" t="str">
        <f>_xlfn.XLOOKUP(Jul[[#This Row],[Date]],Obs_day,Hol,"")</f>
        <v/>
      </c>
      <c r="L31" s="1">
        <v>45130</v>
      </c>
    </row>
    <row r="32" spans="1:12" x14ac:dyDescent="0.25">
      <c r="A32" s="17" t="str">
        <f>IF(Jul[[#This Row],[Date]]="","",UPPER(TEXT(Jul[[#This Row],[Date]],"DDD")))</f>
        <v>MON</v>
      </c>
      <c r="B32" s="5">
        <f>IF(Jul[[#This Row],[Date]]="","",WEEKDAY(Jul[[#This Row],[Date]],11))</f>
        <v>1</v>
      </c>
      <c r="C32" s="5" t="str" cm="1">
        <f t="array" ref="C32">_xlfn.IFNA(_xlfn.XLOOKUP(Jul[[#This Row],[Date]],Obs_day,HN),"")</f>
        <v/>
      </c>
      <c r="D32" s="4">
        <f t="shared" si="0"/>
        <v>45131</v>
      </c>
      <c r="E32" s="61"/>
      <c r="F32" s="61"/>
      <c r="G32" s="61"/>
      <c r="H32" s="61"/>
      <c r="I32" s="62"/>
      <c r="J32" s="60" t="str">
        <f>_xlfn.XLOOKUP(Jul[[#This Row],[Date]],Obs_day,Hol,"")</f>
        <v/>
      </c>
      <c r="L32" s="1">
        <v>45131</v>
      </c>
    </row>
    <row r="33" spans="1:12" x14ac:dyDescent="0.25">
      <c r="A33" s="17" t="str">
        <f>IF(Jul[[#This Row],[Date]]="","",UPPER(TEXT(Jul[[#This Row],[Date]],"DDD")))</f>
        <v>TUE</v>
      </c>
      <c r="B33" s="5">
        <f>IF(Jul[[#This Row],[Date]]="","",WEEKDAY(Jul[[#This Row],[Date]],11))</f>
        <v>2</v>
      </c>
      <c r="C33" s="5" t="str" cm="1">
        <f t="array" ref="C33">_xlfn.IFNA(_xlfn.XLOOKUP(Jul[[#This Row],[Date]],Obs_day,HN),"")</f>
        <v/>
      </c>
      <c r="D33" s="4">
        <f t="shared" si="0"/>
        <v>45132</v>
      </c>
      <c r="E33" s="61"/>
      <c r="F33" s="61"/>
      <c r="G33" s="61"/>
      <c r="H33" s="61"/>
      <c r="I33" s="62"/>
      <c r="J33" s="60" t="str">
        <f>_xlfn.XLOOKUP(Jul[[#This Row],[Date]],Obs_day,Hol,"")</f>
        <v/>
      </c>
      <c r="L33" s="1">
        <v>45132</v>
      </c>
    </row>
    <row r="34" spans="1:12" x14ac:dyDescent="0.25">
      <c r="A34" s="17" t="str">
        <f>IF(Jul[[#This Row],[Date]]="","",UPPER(TEXT(Jul[[#This Row],[Date]],"DDD")))</f>
        <v>WED</v>
      </c>
      <c r="B34" s="5">
        <f>IF(Jul[[#This Row],[Date]]="","",WEEKDAY(Jul[[#This Row],[Date]],11))</f>
        <v>3</v>
      </c>
      <c r="C34" s="5" t="str" cm="1">
        <f t="array" ref="C34">_xlfn.IFNA(_xlfn.XLOOKUP(Jul[[#This Row],[Date]],Obs_day,HN),"")</f>
        <v/>
      </c>
      <c r="D34" s="4">
        <f t="shared" si="0"/>
        <v>45133</v>
      </c>
      <c r="E34" s="61"/>
      <c r="F34" s="61"/>
      <c r="G34" s="61"/>
      <c r="H34" s="61"/>
      <c r="I34" s="62"/>
      <c r="J34" s="60" t="str">
        <f>_xlfn.XLOOKUP(Jul[[#This Row],[Date]],Obs_day,Hol,"")</f>
        <v/>
      </c>
      <c r="L34" s="1">
        <v>45133</v>
      </c>
    </row>
    <row r="35" spans="1:12" x14ac:dyDescent="0.25">
      <c r="A35" s="17" t="str">
        <f>IF(Jul[[#This Row],[Date]]="","",UPPER(TEXT(Jul[[#This Row],[Date]],"DDD")))</f>
        <v>THU</v>
      </c>
      <c r="B35" s="5">
        <f>IF(Jul[[#This Row],[Date]]="","",WEEKDAY(Jul[[#This Row],[Date]],11))</f>
        <v>4</v>
      </c>
      <c r="C35" s="5" t="str" cm="1">
        <f t="array" ref="C35">_xlfn.IFNA(_xlfn.XLOOKUP(Jul[[#This Row],[Date]],Obs_day,HN),"")</f>
        <v/>
      </c>
      <c r="D35" s="4">
        <f t="shared" si="0"/>
        <v>45134</v>
      </c>
      <c r="E35" s="61"/>
      <c r="F35" s="61"/>
      <c r="G35" s="61"/>
      <c r="H35" s="61"/>
      <c r="I35" s="62"/>
      <c r="J35" s="60" t="str">
        <f>_xlfn.XLOOKUP(Jul[[#This Row],[Date]],Obs_day,Hol,"")</f>
        <v/>
      </c>
      <c r="L35" s="1">
        <v>45134</v>
      </c>
    </row>
    <row r="36" spans="1:12" x14ac:dyDescent="0.25">
      <c r="A36" s="17" t="str">
        <f>IF(Jul[[#This Row],[Date]]="","",UPPER(TEXT(Jul[[#This Row],[Date]],"DDD")))</f>
        <v>FRI</v>
      </c>
      <c r="B36" s="5">
        <f>IF(Jul[[#This Row],[Date]]="","",WEEKDAY(Jul[[#This Row],[Date]],11))</f>
        <v>5</v>
      </c>
      <c r="C36" s="5" t="str" cm="1">
        <f t="array" ref="C36">_xlfn.IFNA(_xlfn.XLOOKUP(Jul[[#This Row],[Date]],Obs_day,HN),"")</f>
        <v/>
      </c>
      <c r="D36" s="4">
        <f t="shared" si="0"/>
        <v>45135</v>
      </c>
      <c r="E36" s="61"/>
      <c r="F36" s="61"/>
      <c r="G36" s="61"/>
      <c r="H36" s="61"/>
      <c r="I36" s="62"/>
      <c r="J36" s="60" t="str">
        <f>_xlfn.XLOOKUP(Jul[[#This Row],[Date]],Obs_day,Hol,"")</f>
        <v/>
      </c>
      <c r="L36" s="1">
        <v>45135</v>
      </c>
    </row>
    <row r="37" spans="1:12" x14ac:dyDescent="0.25">
      <c r="A37" s="17" t="str">
        <f>IF(Jul[[#This Row],[Date]]="","",UPPER(TEXT(Jul[[#This Row],[Date]],"DDD")))</f>
        <v>SAT</v>
      </c>
      <c r="B37" s="5">
        <f>IF(Jul[[#This Row],[Date]]="","",WEEKDAY(Jul[[#This Row],[Date]],11))</f>
        <v>6</v>
      </c>
      <c r="C37" s="5" t="str" cm="1">
        <f t="array" ref="C37">_xlfn.IFNA(_xlfn.XLOOKUP(Jul[[#This Row],[Date]],Obs_day,HN),"")</f>
        <v/>
      </c>
      <c r="D37" s="4">
        <f t="shared" si="0"/>
        <v>45136</v>
      </c>
      <c r="E37" s="61"/>
      <c r="F37" s="61"/>
      <c r="G37" s="61"/>
      <c r="H37" s="61"/>
      <c r="I37" s="62"/>
      <c r="J37" s="60" t="str">
        <f>_xlfn.XLOOKUP(Jul[[#This Row],[Date]],Obs_day,Hol,"")</f>
        <v/>
      </c>
      <c r="L37" s="1">
        <v>45136</v>
      </c>
    </row>
    <row r="38" spans="1:12" x14ac:dyDescent="0.25">
      <c r="A38" s="17" t="str">
        <f>IF(Jul[[#This Row],[Date]]="","",UPPER(TEXT(Jul[[#This Row],[Date]],"DDD")))</f>
        <v>SUN</v>
      </c>
      <c r="B38" s="5">
        <f>IF(Jul[[#This Row],[Date]]="","",WEEKDAY(Jul[[#This Row],[Date]],11))</f>
        <v>7</v>
      </c>
      <c r="C38" s="5" t="str" cm="1">
        <f t="array" ref="C38">_xlfn.IFNA(_xlfn.XLOOKUP(Jul[[#This Row],[Date]],Obs_day,HN),"")</f>
        <v/>
      </c>
      <c r="D38" s="4">
        <f t="shared" si="0"/>
        <v>45137</v>
      </c>
      <c r="E38" s="61"/>
      <c r="F38" s="61"/>
      <c r="G38" s="61"/>
      <c r="H38" s="61"/>
      <c r="I38" s="62"/>
      <c r="J38" s="60" t="str">
        <f>_xlfn.XLOOKUP(Jul[[#This Row],[Date]],Obs_day,Hol,"")</f>
        <v/>
      </c>
      <c r="L38" s="1">
        <v>45137</v>
      </c>
    </row>
    <row r="39" spans="1:12" x14ac:dyDescent="0.25">
      <c r="A39" s="17" t="str">
        <f>IF(Jul[[#This Row],[Date]]="","",UPPER(TEXT(Jul[[#This Row],[Date]],"DDD")))</f>
        <v>MON</v>
      </c>
      <c r="B39" s="6">
        <f>IF(Jul[[#This Row],[Date]]="","",WEEKDAY(Jul[[#This Row],[Date]],11))</f>
        <v>1</v>
      </c>
      <c r="C39" s="6" t="str" cm="1">
        <f t="array" ref="C39">_xlfn.IFNA(_xlfn.XLOOKUP(Jul[[#This Row],[Date]],Obs_day,HN),"")</f>
        <v/>
      </c>
      <c r="D39" s="4">
        <f t="shared" si="0"/>
        <v>45138</v>
      </c>
      <c r="E39" s="61"/>
      <c r="F39" s="61"/>
      <c r="G39" s="61"/>
      <c r="H39" s="61"/>
      <c r="I39" s="62"/>
      <c r="J39" s="63" t="str">
        <f>_xlfn.XLOOKUP(Jul[[#This Row],[Date]],Obs_day,Hol,"")</f>
        <v/>
      </c>
      <c r="L39" s="1">
        <v>45138</v>
      </c>
    </row>
    <row r="40" spans="1:12" x14ac:dyDescent="0.25">
      <c r="A40" s="30"/>
      <c r="B40" s="31"/>
      <c r="C40" s="31"/>
      <c r="D40" s="32"/>
      <c r="E40" s="34">
        <f>SUBTOTAL(109,Jul[Vacation
Hours])</f>
        <v>0</v>
      </c>
      <c r="F40" s="34">
        <f>SUBTOTAL(109,Jul[Sick
Hours])</f>
        <v>0</v>
      </c>
      <c r="G40" s="34">
        <f>SUBTOTAL(109,Jul[Float.
Hours])</f>
        <v>0</v>
      </c>
      <c r="H40" s="34">
        <f>SUBTOTAL(109,Jul[Other
Hours])</f>
        <v>0</v>
      </c>
      <c r="I40" s="28"/>
      <c r="J40" s="29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38</v>
      </c>
      <c r="B44" s="7"/>
      <c r="C44" s="7"/>
      <c r="D44" s="7"/>
      <c r="E44" s="7"/>
      <c r="F44" s="7"/>
      <c r="G44" s="7" t="s">
        <v>7</v>
      </c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ht="15.75" thickBot="1" x14ac:dyDescent="0.3">
      <c r="A46" s="66"/>
      <c r="B46" s="66"/>
      <c r="C46" s="66"/>
      <c r="D46" s="66"/>
      <c r="E46" s="66"/>
      <c r="F46" s="66"/>
      <c r="G46" s="66"/>
      <c r="H46" s="65"/>
      <c r="I46" s="65"/>
      <c r="J46" s="65"/>
    </row>
    <row r="47" spans="1:12" x14ac:dyDescent="0.25">
      <c r="A47" s="7" t="s">
        <v>39</v>
      </c>
      <c r="G47" s="7" t="s">
        <v>7</v>
      </c>
    </row>
  </sheetData>
  <sheetProtection algorithmName="SHA-512" hashValue="rVYzGaBn6rZUSs1lULKE3te5dN0vKWZc8Q4GX5/HDUA2C1E7rELnlbrLPAfEDZnlddY+lDgD9/6lAmSq9qbmNw==" saltValue="QwzKNFzYC4+weDdA1Nh1xw==" spinCount="100000" sheet="1" objects="1" scenarios="1"/>
  <mergeCells count="2">
    <mergeCell ref="D5:F5"/>
    <mergeCell ref="D6:F6"/>
  </mergeCells>
  <conditionalFormatting sqref="E9:J39">
    <cfRule type="expression" dxfId="113" priority="1">
      <formula>$C9=1</formula>
    </cfRule>
    <cfRule type="expression" dxfId="112" priority="2">
      <formula>$B9&gt;5</formula>
    </cfRule>
  </conditionalFormatting>
  <dataValidations count="2">
    <dataValidation type="list" allowBlank="1" showInputMessage="1" showErrorMessage="1" sqref="I9:I39" xr:uid="{5DF5B03D-C1CD-486F-8CB3-D672FCD933FD}">
      <formula1>Codes_for_Other</formula1>
    </dataValidation>
    <dataValidation allowBlank="1" showInputMessage="1" showErrorMessage="1" promptTitle="Personal Information Update" prompt="Enter your Name, ID, and Location in the Jan sheet." sqref="D5:F5" xr:uid="{6BCA89BB-2B33-4273-9604-E38329EA8325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F90C0C-BBB4-4C21-87FD-A4D6F86E14E2}">
  <sheetPr>
    <pageSetUpPr fitToPage="1"/>
  </sheetPr>
  <dimension ref="A1:N47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EOMONTH(Jan!J4,6)+1</f>
        <v>45139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COUNT(Aug[Date])</f>
        <v>31</v>
      </c>
    </row>
    <row r="7" spans="1:14" x14ac:dyDescent="0.25">
      <c r="L7">
        <f>_xlfn.DAYS(EOMONTH(J4,0)+1,J4)</f>
        <v>31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Aug Date</v>
      </c>
    </row>
    <row r="9" spans="1:14" ht="15.75" thickTop="1" x14ac:dyDescent="0.25">
      <c r="A9" s="18" t="str">
        <f>IF(Aug[[#This Row],[Date]]="","",UPPER(TEXT(Aug[[#This Row],[Date]],"DDD")))</f>
        <v>TUE</v>
      </c>
      <c r="B9" s="5">
        <f>IF(Aug[[#This Row],[Date]]="","",WEEKDAY(Aug[[#This Row],[Date]],11))</f>
        <v>2</v>
      </c>
      <c r="C9" s="5" t="str" cm="1">
        <f t="array" ref="C9">_xlfn.IFNA(_xlfn.XLOOKUP(Aug[[#This Row],[Date]],Obs_day,HN),"")</f>
        <v/>
      </c>
      <c r="D9" s="3">
        <f>IF(L9&gt;0,L9,"")</f>
        <v>45139</v>
      </c>
      <c r="E9" s="58"/>
      <c r="F9" s="58"/>
      <c r="G9" s="58"/>
      <c r="H9" s="58"/>
      <c r="I9" s="59"/>
      <c r="J9" s="60" t="str">
        <f>_xlfn.XLOOKUP(Aug[[#This Row],[Date]],Obs_day,Hol,"")</f>
        <v/>
      </c>
      <c r="L9" s="1" cm="1">
        <f t="array" ref="L9:L39">_xlfn.SEQUENCE(L7,1,J4,1)</f>
        <v>45139</v>
      </c>
      <c r="N9" s="41"/>
    </row>
    <row r="10" spans="1:14" x14ac:dyDescent="0.25">
      <c r="A10" s="17" t="str">
        <f>IF(Aug[[#This Row],[Date]]="","",UPPER(TEXT(Aug[[#This Row],[Date]],"DDD")))</f>
        <v>WED</v>
      </c>
      <c r="B10" s="5">
        <f>IF(Aug[[#This Row],[Date]]="","",WEEKDAY(Aug[[#This Row],[Date]],11))</f>
        <v>3</v>
      </c>
      <c r="C10" s="5" t="str" cm="1">
        <f t="array" ref="C10">_xlfn.IFNA(_xlfn.XLOOKUP(Aug[[#This Row],[Date]],Obs_day,HN),"")</f>
        <v/>
      </c>
      <c r="D10" s="4">
        <f t="shared" ref="D10:D39" si="0">IF(L10&gt;0,L10,"")</f>
        <v>45140</v>
      </c>
      <c r="E10" s="61"/>
      <c r="F10" s="61"/>
      <c r="G10" s="61"/>
      <c r="H10" s="61"/>
      <c r="I10" s="62"/>
      <c r="J10" s="60" t="str">
        <f>_xlfn.XLOOKUP(Aug[[#This Row],[Date]],Obs_day,Hol,"")</f>
        <v/>
      </c>
      <c r="L10" s="1">
        <v>45140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IF(Aug[[#This Row],[Date]]="","",UPPER(TEXT(Aug[[#This Row],[Date]],"DDD")))</f>
        <v>THU</v>
      </c>
      <c r="B11" s="5">
        <f>IF(Aug[[#This Row],[Date]]="","",WEEKDAY(Aug[[#This Row],[Date]],11))</f>
        <v>4</v>
      </c>
      <c r="C11" s="5" t="str" cm="1">
        <f t="array" ref="C11">_xlfn.IFNA(_xlfn.XLOOKUP(Aug[[#This Row],[Date]],Obs_day,HN),"")</f>
        <v/>
      </c>
      <c r="D11" s="4">
        <f t="shared" si="0"/>
        <v>45141</v>
      </c>
      <c r="E11" s="61"/>
      <c r="F11" s="61"/>
      <c r="G11" s="61"/>
      <c r="H11" s="61"/>
      <c r="I11" s="62"/>
      <c r="J11" s="60" t="str">
        <f>_xlfn.XLOOKUP(Aug[[#This Row],[Date]],Obs_day,Hol,"")</f>
        <v/>
      </c>
      <c r="L11" s="1">
        <v>45141</v>
      </c>
    </row>
    <row r="12" spans="1:14" x14ac:dyDescent="0.25">
      <c r="A12" s="17" t="str">
        <f>IF(Aug[[#This Row],[Date]]="","",UPPER(TEXT(Aug[[#This Row],[Date]],"DDD")))</f>
        <v>FRI</v>
      </c>
      <c r="B12" s="5">
        <f>IF(Aug[[#This Row],[Date]]="","",WEEKDAY(Aug[[#This Row],[Date]],11))</f>
        <v>5</v>
      </c>
      <c r="C12" s="5" t="str" cm="1">
        <f t="array" ref="C12">_xlfn.IFNA(_xlfn.XLOOKUP(Aug[[#This Row],[Date]],Obs_day,HN),"")</f>
        <v/>
      </c>
      <c r="D12" s="4">
        <f t="shared" si="0"/>
        <v>45142</v>
      </c>
      <c r="E12" s="61"/>
      <c r="F12" s="61"/>
      <c r="G12" s="61"/>
      <c r="H12" s="61"/>
      <c r="I12" s="62"/>
      <c r="J12" s="60" t="str">
        <f>_xlfn.XLOOKUP(Aug[[#This Row],[Date]],Obs_day,Hol,"")</f>
        <v/>
      </c>
      <c r="L12" s="1">
        <v>45142</v>
      </c>
    </row>
    <row r="13" spans="1:14" x14ac:dyDescent="0.25">
      <c r="A13" s="17" t="str">
        <f>IF(Aug[[#This Row],[Date]]="","",UPPER(TEXT(Aug[[#This Row],[Date]],"DDD")))</f>
        <v>SAT</v>
      </c>
      <c r="B13" s="5">
        <f>IF(Aug[[#This Row],[Date]]="","",WEEKDAY(Aug[[#This Row],[Date]],11))</f>
        <v>6</v>
      </c>
      <c r="C13" s="5" t="str" cm="1">
        <f t="array" ref="C13">_xlfn.IFNA(_xlfn.XLOOKUP(Aug[[#This Row],[Date]],Obs_day,HN),"")</f>
        <v/>
      </c>
      <c r="D13" s="4">
        <f t="shared" si="0"/>
        <v>45143</v>
      </c>
      <c r="E13" s="61"/>
      <c r="F13" s="61"/>
      <c r="G13" s="61"/>
      <c r="H13" s="61"/>
      <c r="I13" s="62"/>
      <c r="J13" s="60" t="str">
        <f>_xlfn.XLOOKUP(Aug[[#This Row],[Date]],Obs_day,Hol,"")</f>
        <v/>
      </c>
      <c r="L13" s="1">
        <v>45143</v>
      </c>
    </row>
    <row r="14" spans="1:14" x14ac:dyDescent="0.25">
      <c r="A14" s="17" t="str">
        <f>IF(Aug[[#This Row],[Date]]="","",UPPER(TEXT(Aug[[#This Row],[Date]],"DDD")))</f>
        <v>SUN</v>
      </c>
      <c r="B14" s="5">
        <f>IF(Aug[[#This Row],[Date]]="","",WEEKDAY(Aug[[#This Row],[Date]],11))</f>
        <v>7</v>
      </c>
      <c r="C14" s="5" t="str" cm="1">
        <f t="array" ref="C14">_xlfn.IFNA(_xlfn.XLOOKUP(Aug[[#This Row],[Date]],Obs_day,HN),"")</f>
        <v/>
      </c>
      <c r="D14" s="4">
        <f t="shared" si="0"/>
        <v>45144</v>
      </c>
      <c r="E14" s="61"/>
      <c r="F14" s="61"/>
      <c r="G14" s="61"/>
      <c r="H14" s="61"/>
      <c r="I14" s="62"/>
      <c r="J14" s="60" t="str">
        <f>_xlfn.XLOOKUP(Aug[[#This Row],[Date]],Obs_day,Hol,"")</f>
        <v/>
      </c>
      <c r="L14" s="1">
        <v>45144</v>
      </c>
    </row>
    <row r="15" spans="1:14" x14ac:dyDescent="0.25">
      <c r="A15" s="17" t="str">
        <f>IF(Aug[[#This Row],[Date]]="","",UPPER(TEXT(Aug[[#This Row],[Date]],"DDD")))</f>
        <v>MON</v>
      </c>
      <c r="B15" s="5">
        <f>IF(Aug[[#This Row],[Date]]="","",WEEKDAY(Aug[[#This Row],[Date]],11))</f>
        <v>1</v>
      </c>
      <c r="C15" s="5" t="str" cm="1">
        <f t="array" ref="C15">_xlfn.IFNA(_xlfn.XLOOKUP(Aug[[#This Row],[Date]],Obs_day,HN),"")</f>
        <v/>
      </c>
      <c r="D15" s="4">
        <f t="shared" si="0"/>
        <v>45145</v>
      </c>
      <c r="E15" s="61"/>
      <c r="F15" s="61"/>
      <c r="G15" s="61"/>
      <c r="H15" s="61"/>
      <c r="I15" s="62"/>
      <c r="J15" s="60" t="str">
        <f>_xlfn.XLOOKUP(Aug[[#This Row],[Date]],Obs_day,Hol,"")</f>
        <v/>
      </c>
      <c r="L15" s="1">
        <v>45145</v>
      </c>
    </row>
    <row r="16" spans="1:14" x14ac:dyDescent="0.25">
      <c r="A16" s="17" t="str">
        <f>IF(Aug[[#This Row],[Date]]="","",UPPER(TEXT(Aug[[#This Row],[Date]],"DDD")))</f>
        <v>TUE</v>
      </c>
      <c r="B16" s="5">
        <f>IF(Aug[[#This Row],[Date]]="","",WEEKDAY(Aug[[#This Row],[Date]],11))</f>
        <v>2</v>
      </c>
      <c r="C16" s="5" t="str" cm="1">
        <f t="array" ref="C16">_xlfn.IFNA(_xlfn.XLOOKUP(Aug[[#This Row],[Date]],Obs_day,HN),"")</f>
        <v/>
      </c>
      <c r="D16" s="4">
        <f t="shared" si="0"/>
        <v>45146</v>
      </c>
      <c r="E16" s="61"/>
      <c r="F16" s="61"/>
      <c r="G16" s="61"/>
      <c r="H16" s="61"/>
      <c r="I16" s="62"/>
      <c r="J16" s="60" t="str">
        <f>_xlfn.XLOOKUP(Aug[[#This Row],[Date]],Obs_day,Hol,"")</f>
        <v/>
      </c>
      <c r="L16" s="1">
        <v>45146</v>
      </c>
    </row>
    <row r="17" spans="1:12" x14ac:dyDescent="0.25">
      <c r="A17" s="17" t="str">
        <f>IF(Aug[[#This Row],[Date]]="","",UPPER(TEXT(Aug[[#This Row],[Date]],"DDD")))</f>
        <v>WED</v>
      </c>
      <c r="B17" s="5">
        <f>IF(Aug[[#This Row],[Date]]="","",WEEKDAY(Aug[[#This Row],[Date]],11))</f>
        <v>3</v>
      </c>
      <c r="C17" s="5" t="str" cm="1">
        <f t="array" ref="C17">_xlfn.IFNA(_xlfn.XLOOKUP(Aug[[#This Row],[Date]],Obs_day,HN),"")</f>
        <v/>
      </c>
      <c r="D17" s="4">
        <f t="shared" si="0"/>
        <v>45147</v>
      </c>
      <c r="E17" s="61"/>
      <c r="F17" s="61"/>
      <c r="G17" s="61"/>
      <c r="H17" s="61"/>
      <c r="I17" s="62"/>
      <c r="J17" s="60" t="str">
        <f>_xlfn.XLOOKUP(Aug[[#This Row],[Date]],Obs_day,Hol,"")</f>
        <v/>
      </c>
      <c r="L17" s="1">
        <v>45147</v>
      </c>
    </row>
    <row r="18" spans="1:12" x14ac:dyDescent="0.25">
      <c r="A18" s="17" t="str">
        <f>IF(Aug[[#This Row],[Date]]="","",UPPER(TEXT(Aug[[#This Row],[Date]],"DDD")))</f>
        <v>THU</v>
      </c>
      <c r="B18" s="5">
        <f>IF(Aug[[#This Row],[Date]]="","",WEEKDAY(Aug[[#This Row],[Date]],11))</f>
        <v>4</v>
      </c>
      <c r="C18" s="5" t="str" cm="1">
        <f t="array" ref="C18">_xlfn.IFNA(_xlfn.XLOOKUP(Aug[[#This Row],[Date]],Obs_day,HN),"")</f>
        <v/>
      </c>
      <c r="D18" s="4">
        <f t="shared" si="0"/>
        <v>45148</v>
      </c>
      <c r="E18" s="61"/>
      <c r="F18" s="61"/>
      <c r="G18" s="61"/>
      <c r="H18" s="61"/>
      <c r="I18" s="62"/>
      <c r="J18" s="60" t="str">
        <f>_xlfn.XLOOKUP(Aug[[#This Row],[Date]],Obs_day,Hol,"")</f>
        <v/>
      </c>
      <c r="L18" s="1">
        <v>45148</v>
      </c>
    </row>
    <row r="19" spans="1:12" x14ac:dyDescent="0.25">
      <c r="A19" s="17" t="str">
        <f>IF(Aug[[#This Row],[Date]]="","",UPPER(TEXT(Aug[[#This Row],[Date]],"DDD")))</f>
        <v>FRI</v>
      </c>
      <c r="B19" s="5">
        <f>IF(Aug[[#This Row],[Date]]="","",WEEKDAY(Aug[[#This Row],[Date]],11))</f>
        <v>5</v>
      </c>
      <c r="C19" s="5" t="str" cm="1">
        <f t="array" ref="C19">_xlfn.IFNA(_xlfn.XLOOKUP(Aug[[#This Row],[Date]],Obs_day,HN),"")</f>
        <v/>
      </c>
      <c r="D19" s="4">
        <f t="shared" si="0"/>
        <v>45149</v>
      </c>
      <c r="E19" s="61"/>
      <c r="F19" s="61"/>
      <c r="G19" s="61"/>
      <c r="H19" s="61"/>
      <c r="I19" s="62"/>
      <c r="J19" s="60" t="str">
        <f>_xlfn.XLOOKUP(Aug[[#This Row],[Date]],Obs_day,Hol,"")</f>
        <v/>
      </c>
      <c r="L19" s="1">
        <v>45149</v>
      </c>
    </row>
    <row r="20" spans="1:12" x14ac:dyDescent="0.25">
      <c r="A20" s="17" t="str">
        <f>IF(Aug[[#This Row],[Date]]="","",UPPER(TEXT(Aug[[#This Row],[Date]],"DDD")))</f>
        <v>SAT</v>
      </c>
      <c r="B20" s="5">
        <f>IF(Aug[[#This Row],[Date]]="","",WEEKDAY(Aug[[#This Row],[Date]],11))</f>
        <v>6</v>
      </c>
      <c r="C20" s="5" t="str" cm="1">
        <f t="array" ref="C20">_xlfn.IFNA(_xlfn.XLOOKUP(Aug[[#This Row],[Date]],Obs_day,HN),"")</f>
        <v/>
      </c>
      <c r="D20" s="4">
        <f t="shared" si="0"/>
        <v>45150</v>
      </c>
      <c r="E20" s="61"/>
      <c r="F20" s="61"/>
      <c r="G20" s="61"/>
      <c r="H20" s="61"/>
      <c r="I20" s="62"/>
      <c r="J20" s="60" t="str">
        <f>_xlfn.XLOOKUP(Aug[[#This Row],[Date]],Obs_day,Hol,"")</f>
        <v/>
      </c>
      <c r="L20" s="1">
        <v>45150</v>
      </c>
    </row>
    <row r="21" spans="1:12" x14ac:dyDescent="0.25">
      <c r="A21" s="17" t="str">
        <f>IF(Aug[[#This Row],[Date]]="","",UPPER(TEXT(Aug[[#This Row],[Date]],"DDD")))</f>
        <v>SUN</v>
      </c>
      <c r="B21" s="5">
        <f>IF(Aug[[#This Row],[Date]]="","",WEEKDAY(Aug[[#This Row],[Date]],11))</f>
        <v>7</v>
      </c>
      <c r="C21" s="5" t="str" cm="1">
        <f t="array" ref="C21">_xlfn.IFNA(_xlfn.XLOOKUP(Aug[[#This Row],[Date]],Obs_day,HN),"")</f>
        <v/>
      </c>
      <c r="D21" s="4">
        <f t="shared" si="0"/>
        <v>45151</v>
      </c>
      <c r="E21" s="61"/>
      <c r="F21" s="61"/>
      <c r="G21" s="61"/>
      <c r="H21" s="61"/>
      <c r="I21" s="62"/>
      <c r="J21" s="60" t="str">
        <f>_xlfn.XLOOKUP(Aug[[#This Row],[Date]],Obs_day,Hol,"")</f>
        <v/>
      </c>
      <c r="L21" s="1">
        <v>45151</v>
      </c>
    </row>
    <row r="22" spans="1:12" x14ac:dyDescent="0.25">
      <c r="A22" s="17" t="str">
        <f>IF(Aug[[#This Row],[Date]]="","",UPPER(TEXT(Aug[[#This Row],[Date]],"DDD")))</f>
        <v>MON</v>
      </c>
      <c r="B22" s="5">
        <f>IF(Aug[[#This Row],[Date]]="","",WEEKDAY(Aug[[#This Row],[Date]],11))</f>
        <v>1</v>
      </c>
      <c r="C22" s="5" t="str" cm="1">
        <f t="array" ref="C22">_xlfn.IFNA(_xlfn.XLOOKUP(Aug[[#This Row],[Date]],Obs_day,HN),"")</f>
        <v/>
      </c>
      <c r="D22" s="4">
        <f t="shared" si="0"/>
        <v>45152</v>
      </c>
      <c r="E22" s="61"/>
      <c r="F22" s="61"/>
      <c r="G22" s="61"/>
      <c r="H22" s="61"/>
      <c r="I22" s="62"/>
      <c r="J22" s="60" t="str">
        <f>_xlfn.XLOOKUP(Aug[[#This Row],[Date]],Obs_day,Hol,"")</f>
        <v/>
      </c>
      <c r="L22" s="1">
        <v>45152</v>
      </c>
    </row>
    <row r="23" spans="1:12" x14ac:dyDescent="0.25">
      <c r="A23" s="17" t="str">
        <f>IF(Aug[[#This Row],[Date]]="","",UPPER(TEXT(Aug[[#This Row],[Date]],"DDD")))</f>
        <v>TUE</v>
      </c>
      <c r="B23" s="5">
        <f>IF(Aug[[#This Row],[Date]]="","",WEEKDAY(Aug[[#This Row],[Date]],11))</f>
        <v>2</v>
      </c>
      <c r="C23" s="5" t="str" cm="1">
        <f t="array" ref="C23">_xlfn.IFNA(_xlfn.XLOOKUP(Aug[[#This Row],[Date]],Obs_day,HN),"")</f>
        <v/>
      </c>
      <c r="D23" s="4">
        <f t="shared" si="0"/>
        <v>45153</v>
      </c>
      <c r="E23" s="61"/>
      <c r="F23" s="61"/>
      <c r="G23" s="61"/>
      <c r="H23" s="61"/>
      <c r="I23" s="62"/>
      <c r="J23" s="60" t="str">
        <f>_xlfn.XLOOKUP(Aug[[#This Row],[Date]],Obs_day,Hol,"")</f>
        <v/>
      </c>
      <c r="L23" s="1">
        <v>45153</v>
      </c>
    </row>
    <row r="24" spans="1:12" x14ac:dyDescent="0.25">
      <c r="A24" s="17" t="str">
        <f>IF(Aug[[#This Row],[Date]]="","",UPPER(TEXT(Aug[[#This Row],[Date]],"DDD")))</f>
        <v>WED</v>
      </c>
      <c r="B24" s="5">
        <f>IF(Aug[[#This Row],[Date]]="","",WEEKDAY(Aug[[#This Row],[Date]],11))</f>
        <v>3</v>
      </c>
      <c r="C24" s="5" t="str" cm="1">
        <f t="array" ref="C24">_xlfn.IFNA(_xlfn.XLOOKUP(Aug[[#This Row],[Date]],Obs_day,HN),"")</f>
        <v/>
      </c>
      <c r="D24" s="4">
        <f t="shared" si="0"/>
        <v>45154</v>
      </c>
      <c r="E24" s="61"/>
      <c r="F24" s="61"/>
      <c r="G24" s="61"/>
      <c r="H24" s="61"/>
      <c r="I24" s="62"/>
      <c r="J24" s="60" t="str">
        <f>_xlfn.XLOOKUP(Aug[[#This Row],[Date]],Obs_day,Hol,"")</f>
        <v/>
      </c>
      <c r="L24" s="1">
        <v>45154</v>
      </c>
    </row>
    <row r="25" spans="1:12" x14ac:dyDescent="0.25">
      <c r="A25" s="17" t="str">
        <f>IF(Aug[[#This Row],[Date]]="","",UPPER(TEXT(Aug[[#This Row],[Date]],"DDD")))</f>
        <v>THU</v>
      </c>
      <c r="B25" s="5">
        <f>IF(Aug[[#This Row],[Date]]="","",WEEKDAY(Aug[[#This Row],[Date]],11))</f>
        <v>4</v>
      </c>
      <c r="C25" s="5" t="str" cm="1">
        <f t="array" ref="C25">_xlfn.IFNA(_xlfn.XLOOKUP(Aug[[#This Row],[Date]],Obs_day,HN),"")</f>
        <v/>
      </c>
      <c r="D25" s="4">
        <f t="shared" si="0"/>
        <v>45155</v>
      </c>
      <c r="E25" s="61"/>
      <c r="F25" s="61"/>
      <c r="G25" s="61"/>
      <c r="H25" s="61"/>
      <c r="I25" s="62"/>
      <c r="J25" s="60" t="str">
        <f>_xlfn.XLOOKUP(Aug[[#This Row],[Date]],Obs_day,Hol,"")</f>
        <v/>
      </c>
      <c r="L25" s="1">
        <v>45155</v>
      </c>
    </row>
    <row r="26" spans="1:12" x14ac:dyDescent="0.25">
      <c r="A26" s="17" t="str">
        <f>IF(Aug[[#This Row],[Date]]="","",UPPER(TEXT(Aug[[#This Row],[Date]],"DDD")))</f>
        <v>FRI</v>
      </c>
      <c r="B26" s="5">
        <f>IF(Aug[[#This Row],[Date]]="","",WEEKDAY(Aug[[#This Row],[Date]],11))</f>
        <v>5</v>
      </c>
      <c r="C26" s="5" t="str" cm="1">
        <f t="array" ref="C26">_xlfn.IFNA(_xlfn.XLOOKUP(Aug[[#This Row],[Date]],Obs_day,HN),"")</f>
        <v/>
      </c>
      <c r="D26" s="4">
        <f t="shared" si="0"/>
        <v>45156</v>
      </c>
      <c r="E26" s="61"/>
      <c r="F26" s="61"/>
      <c r="G26" s="61"/>
      <c r="H26" s="61"/>
      <c r="I26" s="62"/>
      <c r="J26" s="60" t="str">
        <f>_xlfn.XLOOKUP(Aug[[#This Row],[Date]],Obs_day,Hol,"")</f>
        <v/>
      </c>
      <c r="L26" s="1">
        <v>45156</v>
      </c>
    </row>
    <row r="27" spans="1:12" x14ac:dyDescent="0.25">
      <c r="A27" s="17" t="str">
        <f>IF(Aug[[#This Row],[Date]]="","",UPPER(TEXT(Aug[[#This Row],[Date]],"DDD")))</f>
        <v>SAT</v>
      </c>
      <c r="B27" s="5">
        <f>IF(Aug[[#This Row],[Date]]="","",WEEKDAY(Aug[[#This Row],[Date]],11))</f>
        <v>6</v>
      </c>
      <c r="C27" s="5" t="str" cm="1">
        <f t="array" ref="C27">_xlfn.IFNA(_xlfn.XLOOKUP(Aug[[#This Row],[Date]],Obs_day,HN),"")</f>
        <v/>
      </c>
      <c r="D27" s="4">
        <f t="shared" si="0"/>
        <v>45157</v>
      </c>
      <c r="E27" s="61"/>
      <c r="F27" s="61"/>
      <c r="G27" s="61"/>
      <c r="H27" s="61"/>
      <c r="I27" s="62"/>
      <c r="J27" s="60" t="str">
        <f>_xlfn.XLOOKUP(Aug[[#This Row],[Date]],Obs_day,Hol,"")</f>
        <v/>
      </c>
      <c r="L27" s="1">
        <v>45157</v>
      </c>
    </row>
    <row r="28" spans="1:12" x14ac:dyDescent="0.25">
      <c r="A28" s="17" t="str">
        <f>IF(Aug[[#This Row],[Date]]="","",UPPER(TEXT(Aug[[#This Row],[Date]],"DDD")))</f>
        <v>SUN</v>
      </c>
      <c r="B28" s="5">
        <f>IF(Aug[[#This Row],[Date]]="","",WEEKDAY(Aug[[#This Row],[Date]],11))</f>
        <v>7</v>
      </c>
      <c r="C28" s="5" t="str" cm="1">
        <f t="array" ref="C28">_xlfn.IFNA(_xlfn.XLOOKUP(Aug[[#This Row],[Date]],Obs_day,HN),"")</f>
        <v/>
      </c>
      <c r="D28" s="4">
        <f t="shared" si="0"/>
        <v>45158</v>
      </c>
      <c r="E28" s="61"/>
      <c r="F28" s="61"/>
      <c r="G28" s="61"/>
      <c r="H28" s="61"/>
      <c r="I28" s="62"/>
      <c r="J28" s="60" t="str">
        <f>_xlfn.XLOOKUP(Aug[[#This Row],[Date]],Obs_day,Hol,"")</f>
        <v/>
      </c>
      <c r="L28" s="1">
        <v>45158</v>
      </c>
    </row>
    <row r="29" spans="1:12" x14ac:dyDescent="0.25">
      <c r="A29" s="17" t="str">
        <f>IF(Aug[[#This Row],[Date]]="","",UPPER(TEXT(Aug[[#This Row],[Date]],"DDD")))</f>
        <v>MON</v>
      </c>
      <c r="B29" s="5">
        <f>IF(Aug[[#This Row],[Date]]="","",WEEKDAY(Aug[[#This Row],[Date]],11))</f>
        <v>1</v>
      </c>
      <c r="C29" s="5" t="str" cm="1">
        <f t="array" ref="C29">_xlfn.IFNA(_xlfn.XLOOKUP(Aug[[#This Row],[Date]],Obs_day,HN),"")</f>
        <v/>
      </c>
      <c r="D29" s="4">
        <f t="shared" si="0"/>
        <v>45159</v>
      </c>
      <c r="E29" s="61"/>
      <c r="F29" s="61"/>
      <c r="G29" s="61"/>
      <c r="H29" s="61"/>
      <c r="I29" s="62"/>
      <c r="J29" s="60" t="str">
        <f>_xlfn.XLOOKUP(Aug[[#This Row],[Date]],Obs_day,Hol,"")</f>
        <v/>
      </c>
      <c r="L29" s="1">
        <v>45159</v>
      </c>
    </row>
    <row r="30" spans="1:12" x14ac:dyDescent="0.25">
      <c r="A30" s="17" t="str">
        <f>IF(Aug[[#This Row],[Date]]="","",UPPER(TEXT(Aug[[#This Row],[Date]],"DDD")))</f>
        <v>TUE</v>
      </c>
      <c r="B30" s="5">
        <f>IF(Aug[[#This Row],[Date]]="","",WEEKDAY(Aug[[#This Row],[Date]],11))</f>
        <v>2</v>
      </c>
      <c r="C30" s="5" t="str" cm="1">
        <f t="array" ref="C30">_xlfn.IFNA(_xlfn.XLOOKUP(Aug[[#This Row],[Date]],Obs_day,HN),"")</f>
        <v/>
      </c>
      <c r="D30" s="4">
        <f t="shared" si="0"/>
        <v>45160</v>
      </c>
      <c r="E30" s="61"/>
      <c r="F30" s="61"/>
      <c r="G30" s="61"/>
      <c r="H30" s="61"/>
      <c r="I30" s="62"/>
      <c r="J30" s="60" t="str">
        <f>_xlfn.XLOOKUP(Aug[[#This Row],[Date]],Obs_day,Hol,"")</f>
        <v/>
      </c>
      <c r="L30" s="1">
        <v>45160</v>
      </c>
    </row>
    <row r="31" spans="1:12" x14ac:dyDescent="0.25">
      <c r="A31" s="17" t="str">
        <f>IF(Aug[[#This Row],[Date]]="","",UPPER(TEXT(Aug[[#This Row],[Date]],"DDD")))</f>
        <v>WED</v>
      </c>
      <c r="B31" s="5">
        <f>IF(Aug[[#This Row],[Date]]="","",WEEKDAY(Aug[[#This Row],[Date]],11))</f>
        <v>3</v>
      </c>
      <c r="C31" s="5" t="str" cm="1">
        <f t="array" ref="C31">_xlfn.IFNA(_xlfn.XLOOKUP(Aug[[#This Row],[Date]],Obs_day,HN),"")</f>
        <v/>
      </c>
      <c r="D31" s="4">
        <f t="shared" si="0"/>
        <v>45161</v>
      </c>
      <c r="E31" s="61"/>
      <c r="F31" s="61"/>
      <c r="G31" s="61"/>
      <c r="H31" s="61"/>
      <c r="I31" s="62"/>
      <c r="J31" s="60" t="str">
        <f>_xlfn.XLOOKUP(Aug[[#This Row],[Date]],Obs_day,Hol,"")</f>
        <v/>
      </c>
      <c r="L31" s="1">
        <v>45161</v>
      </c>
    </row>
    <row r="32" spans="1:12" x14ac:dyDescent="0.25">
      <c r="A32" s="17" t="str">
        <f>IF(Aug[[#This Row],[Date]]="","",UPPER(TEXT(Aug[[#This Row],[Date]],"DDD")))</f>
        <v>THU</v>
      </c>
      <c r="B32" s="5">
        <f>IF(Aug[[#This Row],[Date]]="","",WEEKDAY(Aug[[#This Row],[Date]],11))</f>
        <v>4</v>
      </c>
      <c r="C32" s="5" t="str" cm="1">
        <f t="array" ref="C32">_xlfn.IFNA(_xlfn.XLOOKUP(Aug[[#This Row],[Date]],Obs_day,HN),"")</f>
        <v/>
      </c>
      <c r="D32" s="4">
        <f t="shared" si="0"/>
        <v>45162</v>
      </c>
      <c r="E32" s="61"/>
      <c r="F32" s="61"/>
      <c r="G32" s="61"/>
      <c r="H32" s="61"/>
      <c r="I32" s="62"/>
      <c r="J32" s="60" t="str">
        <f>_xlfn.XLOOKUP(Aug[[#This Row],[Date]],Obs_day,Hol,"")</f>
        <v/>
      </c>
      <c r="L32" s="1">
        <v>45162</v>
      </c>
    </row>
    <row r="33" spans="1:12" x14ac:dyDescent="0.25">
      <c r="A33" s="17" t="str">
        <f>IF(Aug[[#This Row],[Date]]="","",UPPER(TEXT(Aug[[#This Row],[Date]],"DDD")))</f>
        <v>FRI</v>
      </c>
      <c r="B33" s="5">
        <f>IF(Aug[[#This Row],[Date]]="","",WEEKDAY(Aug[[#This Row],[Date]],11))</f>
        <v>5</v>
      </c>
      <c r="C33" s="5" t="str" cm="1">
        <f t="array" ref="C33">_xlfn.IFNA(_xlfn.XLOOKUP(Aug[[#This Row],[Date]],Obs_day,HN),"")</f>
        <v/>
      </c>
      <c r="D33" s="4">
        <f t="shared" si="0"/>
        <v>45163</v>
      </c>
      <c r="E33" s="61"/>
      <c r="F33" s="61"/>
      <c r="G33" s="61"/>
      <c r="H33" s="61"/>
      <c r="I33" s="62"/>
      <c r="J33" s="60" t="str">
        <f>_xlfn.XLOOKUP(Aug[[#This Row],[Date]],Obs_day,Hol,"")</f>
        <v/>
      </c>
      <c r="L33" s="1">
        <v>45163</v>
      </c>
    </row>
    <row r="34" spans="1:12" x14ac:dyDescent="0.25">
      <c r="A34" s="17" t="str">
        <f>IF(Aug[[#This Row],[Date]]="","",UPPER(TEXT(Aug[[#This Row],[Date]],"DDD")))</f>
        <v>SAT</v>
      </c>
      <c r="B34" s="5">
        <f>IF(Aug[[#This Row],[Date]]="","",WEEKDAY(Aug[[#This Row],[Date]],11))</f>
        <v>6</v>
      </c>
      <c r="C34" s="5" t="str" cm="1">
        <f t="array" ref="C34">_xlfn.IFNA(_xlfn.XLOOKUP(Aug[[#This Row],[Date]],Obs_day,HN),"")</f>
        <v/>
      </c>
      <c r="D34" s="4">
        <f t="shared" si="0"/>
        <v>45164</v>
      </c>
      <c r="E34" s="61"/>
      <c r="F34" s="61"/>
      <c r="G34" s="61"/>
      <c r="H34" s="61"/>
      <c r="I34" s="62"/>
      <c r="J34" s="60" t="str">
        <f>_xlfn.XLOOKUP(Aug[[#This Row],[Date]],Obs_day,Hol,"")</f>
        <v/>
      </c>
      <c r="L34" s="1">
        <v>45164</v>
      </c>
    </row>
    <row r="35" spans="1:12" x14ac:dyDescent="0.25">
      <c r="A35" s="17" t="str">
        <f>IF(Aug[[#This Row],[Date]]="","",UPPER(TEXT(Aug[[#This Row],[Date]],"DDD")))</f>
        <v>SUN</v>
      </c>
      <c r="B35" s="5">
        <f>IF(Aug[[#This Row],[Date]]="","",WEEKDAY(Aug[[#This Row],[Date]],11))</f>
        <v>7</v>
      </c>
      <c r="C35" s="5" t="str" cm="1">
        <f t="array" ref="C35">_xlfn.IFNA(_xlfn.XLOOKUP(Aug[[#This Row],[Date]],Obs_day,HN),"")</f>
        <v/>
      </c>
      <c r="D35" s="4">
        <f t="shared" si="0"/>
        <v>45165</v>
      </c>
      <c r="E35" s="61"/>
      <c r="F35" s="61"/>
      <c r="G35" s="61"/>
      <c r="H35" s="61"/>
      <c r="I35" s="62"/>
      <c r="J35" s="60" t="str">
        <f>_xlfn.XLOOKUP(Aug[[#This Row],[Date]],Obs_day,Hol,"")</f>
        <v/>
      </c>
      <c r="L35" s="1">
        <v>45165</v>
      </c>
    </row>
    <row r="36" spans="1:12" x14ac:dyDescent="0.25">
      <c r="A36" s="17" t="str">
        <f>IF(Aug[[#This Row],[Date]]="","",UPPER(TEXT(Aug[[#This Row],[Date]],"DDD")))</f>
        <v>MON</v>
      </c>
      <c r="B36" s="5">
        <f>IF(Aug[[#This Row],[Date]]="","",WEEKDAY(Aug[[#This Row],[Date]],11))</f>
        <v>1</v>
      </c>
      <c r="C36" s="5" t="str" cm="1">
        <f t="array" ref="C36">_xlfn.IFNA(_xlfn.XLOOKUP(Aug[[#This Row],[Date]],Obs_day,HN),"")</f>
        <v/>
      </c>
      <c r="D36" s="4">
        <f t="shared" si="0"/>
        <v>45166</v>
      </c>
      <c r="E36" s="61"/>
      <c r="F36" s="61"/>
      <c r="G36" s="61"/>
      <c r="H36" s="61"/>
      <c r="I36" s="62"/>
      <c r="J36" s="60" t="str">
        <f>_xlfn.XLOOKUP(Aug[[#This Row],[Date]],Obs_day,Hol,"")</f>
        <v/>
      </c>
      <c r="L36" s="1">
        <v>45166</v>
      </c>
    </row>
    <row r="37" spans="1:12" x14ac:dyDescent="0.25">
      <c r="A37" s="17" t="str">
        <f>IF(Aug[[#This Row],[Date]]="","",UPPER(TEXT(Aug[[#This Row],[Date]],"DDD")))</f>
        <v>TUE</v>
      </c>
      <c r="B37" s="5">
        <f>IF(Aug[[#This Row],[Date]]="","",WEEKDAY(Aug[[#This Row],[Date]],11))</f>
        <v>2</v>
      </c>
      <c r="C37" s="5" t="str" cm="1">
        <f t="array" ref="C37">_xlfn.IFNA(_xlfn.XLOOKUP(Aug[[#This Row],[Date]],Obs_day,HN),"")</f>
        <v/>
      </c>
      <c r="D37" s="4">
        <f t="shared" si="0"/>
        <v>45167</v>
      </c>
      <c r="E37" s="61"/>
      <c r="F37" s="61"/>
      <c r="G37" s="61"/>
      <c r="H37" s="61"/>
      <c r="I37" s="62"/>
      <c r="J37" s="60" t="str">
        <f>_xlfn.XLOOKUP(Aug[[#This Row],[Date]],Obs_day,Hol,"")</f>
        <v/>
      </c>
      <c r="L37" s="1">
        <v>45167</v>
      </c>
    </row>
    <row r="38" spans="1:12" x14ac:dyDescent="0.25">
      <c r="A38" s="17" t="str">
        <f>IF(Aug[[#This Row],[Date]]="","",UPPER(TEXT(Aug[[#This Row],[Date]],"DDD")))</f>
        <v>WED</v>
      </c>
      <c r="B38" s="5">
        <f>IF(Aug[[#This Row],[Date]]="","",WEEKDAY(Aug[[#This Row],[Date]],11))</f>
        <v>3</v>
      </c>
      <c r="C38" s="5" t="str" cm="1">
        <f t="array" ref="C38">_xlfn.IFNA(_xlfn.XLOOKUP(Aug[[#This Row],[Date]],Obs_day,HN),"")</f>
        <v/>
      </c>
      <c r="D38" s="4">
        <f t="shared" si="0"/>
        <v>45168</v>
      </c>
      <c r="E38" s="61"/>
      <c r="F38" s="61"/>
      <c r="G38" s="61"/>
      <c r="H38" s="61"/>
      <c r="I38" s="62"/>
      <c r="J38" s="60" t="str">
        <f>_xlfn.XLOOKUP(Aug[[#This Row],[Date]],Obs_day,Hol,"")</f>
        <v/>
      </c>
      <c r="L38" s="1">
        <v>45168</v>
      </c>
    </row>
    <row r="39" spans="1:12" x14ac:dyDescent="0.25">
      <c r="A39" s="17" t="str">
        <f>IF(Aug[[#This Row],[Date]]="","",UPPER(TEXT(Aug[[#This Row],[Date]],"DDD")))</f>
        <v>THU</v>
      </c>
      <c r="B39" s="6">
        <f>IF(Aug[[#This Row],[Date]]="","",WEEKDAY(Aug[[#This Row],[Date]],11))</f>
        <v>4</v>
      </c>
      <c r="C39" s="6" t="str" cm="1">
        <f t="array" ref="C39">_xlfn.IFNA(_xlfn.XLOOKUP(Aug[[#This Row],[Date]],Obs_day,HN),"")</f>
        <v/>
      </c>
      <c r="D39" s="4">
        <f t="shared" si="0"/>
        <v>45169</v>
      </c>
      <c r="E39" s="61"/>
      <c r="F39" s="61"/>
      <c r="G39" s="61"/>
      <c r="H39" s="61"/>
      <c r="I39" s="62"/>
      <c r="J39" s="63" t="str">
        <f>_xlfn.XLOOKUP(Aug[[#This Row],[Date]],Obs_day,Hol,"")</f>
        <v/>
      </c>
      <c r="L39" s="1">
        <v>45169</v>
      </c>
    </row>
    <row r="40" spans="1:12" x14ac:dyDescent="0.25">
      <c r="A40" s="30"/>
      <c r="B40" s="31"/>
      <c r="C40" s="31"/>
      <c r="D40" s="32"/>
      <c r="E40" s="34">
        <f>SUBTOTAL(109,Aug[Vacation
Hours])</f>
        <v>0</v>
      </c>
      <c r="F40" s="34">
        <f>SUBTOTAL(109,Aug[Sick
Hours])</f>
        <v>0</v>
      </c>
      <c r="G40" s="34">
        <f>SUBTOTAL(109,Aug[Float.
Hours])</f>
        <v>0</v>
      </c>
      <c r="H40" s="34">
        <f>SUBTOTAL(109,Aug[Other
Hours])</f>
        <v>0</v>
      </c>
      <c r="I40" s="28"/>
      <c r="J40" s="29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38</v>
      </c>
      <c r="B44" s="7"/>
      <c r="C44" s="7"/>
      <c r="D44" s="7"/>
      <c r="E44" s="7"/>
      <c r="F44" s="7"/>
      <c r="G44" s="7" t="s">
        <v>7</v>
      </c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ht="15.75" thickBot="1" x14ac:dyDescent="0.3">
      <c r="A46" s="66"/>
      <c r="B46" s="66"/>
      <c r="C46" s="66"/>
      <c r="D46" s="66"/>
      <c r="E46" s="66"/>
      <c r="F46" s="66"/>
      <c r="G46" s="66"/>
      <c r="H46" s="65"/>
      <c r="I46" s="65"/>
      <c r="J46" s="65"/>
    </row>
    <row r="47" spans="1:12" x14ac:dyDescent="0.25">
      <c r="A47" s="7" t="s">
        <v>39</v>
      </c>
      <c r="G47" s="7" t="s">
        <v>7</v>
      </c>
    </row>
  </sheetData>
  <sheetProtection algorithmName="SHA-512" hashValue="B+9xvR0JEs6qO0CeKDKR36AU832kp6mDpD76oPBLSSS/P9XLSq5k8lK4wBCsYsn4+t6UfkPRrF9cPlOHLwXTAQ==" saltValue="AcSshKCE+9XF74IyHY/PLQ==" spinCount="100000" sheet="1" objects="1" scenarios="1"/>
  <mergeCells count="2">
    <mergeCell ref="D5:F5"/>
    <mergeCell ref="D6:F6"/>
  </mergeCells>
  <conditionalFormatting sqref="E9:J39">
    <cfRule type="expression" dxfId="111" priority="1">
      <formula>$C9=1</formula>
    </cfRule>
    <cfRule type="expression" dxfId="110" priority="2">
      <formula>$B9&gt;5</formula>
    </cfRule>
  </conditionalFormatting>
  <dataValidations count="2">
    <dataValidation type="list" allowBlank="1" showInputMessage="1" showErrorMessage="1" sqref="I9:I39" xr:uid="{373D80ED-ECFF-4FF4-9E03-4E285795C94A}">
      <formula1>Codes_for_Other</formula1>
    </dataValidation>
    <dataValidation allowBlank="1" showInputMessage="1" showErrorMessage="1" promptTitle="Personal Information Update" prompt="Enter your Name, ID, and Location in the Jan sheet." sqref="D5:F5" xr:uid="{9DE83A66-6174-41B9-A6F8-20AE42C69791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6AA986-69B3-45B5-9D64-F1DCC9BA4951}">
  <sheetPr>
    <pageSetUpPr fitToPage="1"/>
  </sheetPr>
  <dimension ref="A1:N46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EOMONTH(Jan!J4,7)+1</f>
        <v>45170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COUNT(Sep[Date])</f>
        <v>30</v>
      </c>
    </row>
    <row r="7" spans="1:14" x14ac:dyDescent="0.25">
      <c r="L7">
        <f>_xlfn.DAYS(EOMONTH(J4,0)+1,J4)</f>
        <v>30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Sep Date</v>
      </c>
    </row>
    <row r="9" spans="1:14" ht="15.75" thickTop="1" x14ac:dyDescent="0.25">
      <c r="A9" s="18" t="str">
        <f>IF(Sep[[#This Row],[Date]]="","",UPPER(TEXT(Sep[[#This Row],[Date]],"DDD")))</f>
        <v>FRI</v>
      </c>
      <c r="B9" s="5">
        <f>IF(Sep[[#This Row],[Date]]="","",WEEKDAY(Sep[[#This Row],[Date]],11))</f>
        <v>5</v>
      </c>
      <c r="C9" s="5" t="str" cm="1">
        <f t="array" ref="C9">_xlfn.IFNA(_xlfn.XLOOKUP(Sep[[#This Row],[Date]],Obs_day,HN),"")</f>
        <v/>
      </c>
      <c r="D9" s="3">
        <f>IF(L9&gt;0,L9,"")</f>
        <v>45170</v>
      </c>
      <c r="E9" s="58"/>
      <c r="F9" s="58"/>
      <c r="G9" s="58"/>
      <c r="H9" s="58"/>
      <c r="I9" s="59"/>
      <c r="J9" s="60" t="str">
        <f>_xlfn.XLOOKUP(Sep[[#This Row],[Date]],Obs_day,Hol,"")</f>
        <v/>
      </c>
      <c r="L9" s="1" cm="1">
        <f t="array" ref="L9:L38">_xlfn.SEQUENCE(L7,1,J4,1)</f>
        <v>45170</v>
      </c>
      <c r="N9" s="41"/>
    </row>
    <row r="10" spans="1:14" x14ac:dyDescent="0.25">
      <c r="A10" s="17" t="str">
        <f>IF(Sep[[#This Row],[Date]]="","",UPPER(TEXT(Sep[[#This Row],[Date]],"DDD")))</f>
        <v>SAT</v>
      </c>
      <c r="B10" s="5">
        <f>IF(Sep[[#This Row],[Date]]="","",WEEKDAY(Sep[[#This Row],[Date]],11))</f>
        <v>6</v>
      </c>
      <c r="C10" s="5" t="str" cm="1">
        <f t="array" ref="C10">_xlfn.IFNA(_xlfn.XLOOKUP(Sep[[#This Row],[Date]],Obs_day,HN),"")</f>
        <v/>
      </c>
      <c r="D10" s="4">
        <f t="shared" ref="D10:D38" si="0">IF(L10&gt;0,L10,"")</f>
        <v>45171</v>
      </c>
      <c r="E10" s="61"/>
      <c r="F10" s="61"/>
      <c r="G10" s="61"/>
      <c r="H10" s="61"/>
      <c r="I10" s="62"/>
      <c r="J10" s="60" t="str">
        <f>_xlfn.XLOOKUP(Sep[[#This Row],[Date]],Obs_day,Hol,"")</f>
        <v/>
      </c>
      <c r="L10" s="1">
        <v>45171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IF(Sep[[#This Row],[Date]]="","",UPPER(TEXT(Sep[[#This Row],[Date]],"DDD")))</f>
        <v>SUN</v>
      </c>
      <c r="B11" s="5">
        <f>IF(Sep[[#This Row],[Date]]="","",WEEKDAY(Sep[[#This Row],[Date]],11))</f>
        <v>7</v>
      </c>
      <c r="C11" s="5" t="str" cm="1">
        <f t="array" ref="C11">_xlfn.IFNA(_xlfn.XLOOKUP(Sep[[#This Row],[Date]],Obs_day,HN),"")</f>
        <v/>
      </c>
      <c r="D11" s="4">
        <f t="shared" si="0"/>
        <v>45172</v>
      </c>
      <c r="E11" s="61"/>
      <c r="F11" s="61"/>
      <c r="G11" s="61"/>
      <c r="H11" s="61"/>
      <c r="I11" s="62"/>
      <c r="J11" s="60" t="str">
        <f>_xlfn.XLOOKUP(Sep[[#This Row],[Date]],Obs_day,Hol,"")</f>
        <v/>
      </c>
      <c r="L11" s="1">
        <v>45172</v>
      </c>
    </row>
    <row r="12" spans="1:14" x14ac:dyDescent="0.25">
      <c r="A12" s="17" t="str">
        <f>IF(Sep[[#This Row],[Date]]="","",UPPER(TEXT(Sep[[#This Row],[Date]],"DDD")))</f>
        <v>MON</v>
      </c>
      <c r="B12" s="5">
        <f>IF(Sep[[#This Row],[Date]]="","",WEEKDAY(Sep[[#This Row],[Date]],11))</f>
        <v>1</v>
      </c>
      <c r="C12" s="5" cm="1">
        <f t="array" ref="C12">_xlfn.IFNA(_xlfn.XLOOKUP(Sep[[#This Row],[Date]],Obs_day,HN),"")</f>
        <v>1</v>
      </c>
      <c r="D12" s="4">
        <f t="shared" si="0"/>
        <v>45173</v>
      </c>
      <c r="E12" s="61"/>
      <c r="F12" s="61"/>
      <c r="G12" s="61"/>
      <c r="H12" s="61"/>
      <c r="I12" s="62"/>
      <c r="J12" s="60" t="str">
        <f>_xlfn.XLOOKUP(Sep[[#This Row],[Date]],Obs_day,Hol,"")</f>
        <v>Labor Day</v>
      </c>
      <c r="L12" s="1">
        <v>45173</v>
      </c>
    </row>
    <row r="13" spans="1:14" x14ac:dyDescent="0.25">
      <c r="A13" s="17" t="str">
        <f>IF(Sep[[#This Row],[Date]]="","",UPPER(TEXT(Sep[[#This Row],[Date]],"DDD")))</f>
        <v>TUE</v>
      </c>
      <c r="B13" s="5">
        <f>IF(Sep[[#This Row],[Date]]="","",WEEKDAY(Sep[[#This Row],[Date]],11))</f>
        <v>2</v>
      </c>
      <c r="C13" s="5" t="str" cm="1">
        <f t="array" ref="C13">_xlfn.IFNA(_xlfn.XLOOKUP(Sep[[#This Row],[Date]],Obs_day,HN),"")</f>
        <v/>
      </c>
      <c r="D13" s="4">
        <f t="shared" si="0"/>
        <v>45174</v>
      </c>
      <c r="E13" s="61"/>
      <c r="F13" s="61"/>
      <c r="G13" s="61"/>
      <c r="H13" s="61"/>
      <c r="I13" s="62"/>
      <c r="J13" s="60" t="str">
        <f>_xlfn.XLOOKUP(Sep[[#This Row],[Date]],Obs_day,Hol,"")</f>
        <v/>
      </c>
      <c r="L13" s="1">
        <v>45174</v>
      </c>
    </row>
    <row r="14" spans="1:14" x14ac:dyDescent="0.25">
      <c r="A14" s="17" t="str">
        <f>IF(Sep[[#This Row],[Date]]="","",UPPER(TEXT(Sep[[#This Row],[Date]],"DDD")))</f>
        <v>WED</v>
      </c>
      <c r="B14" s="5">
        <f>IF(Sep[[#This Row],[Date]]="","",WEEKDAY(Sep[[#This Row],[Date]],11))</f>
        <v>3</v>
      </c>
      <c r="C14" s="5" t="str" cm="1">
        <f t="array" ref="C14">_xlfn.IFNA(_xlfn.XLOOKUP(Sep[[#This Row],[Date]],Obs_day,HN),"")</f>
        <v/>
      </c>
      <c r="D14" s="4">
        <f t="shared" si="0"/>
        <v>45175</v>
      </c>
      <c r="E14" s="61"/>
      <c r="F14" s="61"/>
      <c r="G14" s="61"/>
      <c r="H14" s="61"/>
      <c r="I14" s="62"/>
      <c r="J14" s="60" t="str">
        <f>_xlfn.XLOOKUP(Sep[[#This Row],[Date]],Obs_day,Hol,"")</f>
        <v/>
      </c>
      <c r="L14" s="1">
        <v>45175</v>
      </c>
    </row>
    <row r="15" spans="1:14" x14ac:dyDescent="0.25">
      <c r="A15" s="17" t="str">
        <f>IF(Sep[[#This Row],[Date]]="","",UPPER(TEXT(Sep[[#This Row],[Date]],"DDD")))</f>
        <v>THU</v>
      </c>
      <c r="B15" s="5">
        <f>IF(Sep[[#This Row],[Date]]="","",WEEKDAY(Sep[[#This Row],[Date]],11))</f>
        <v>4</v>
      </c>
      <c r="C15" s="5" t="str" cm="1">
        <f t="array" ref="C15">_xlfn.IFNA(_xlfn.XLOOKUP(Sep[[#This Row],[Date]],Obs_day,HN),"")</f>
        <v/>
      </c>
      <c r="D15" s="4">
        <f t="shared" si="0"/>
        <v>45176</v>
      </c>
      <c r="E15" s="61"/>
      <c r="F15" s="61"/>
      <c r="G15" s="61"/>
      <c r="H15" s="61"/>
      <c r="I15" s="62"/>
      <c r="J15" s="60" t="str">
        <f>_xlfn.XLOOKUP(Sep[[#This Row],[Date]],Obs_day,Hol,"")</f>
        <v/>
      </c>
      <c r="L15" s="1">
        <v>45176</v>
      </c>
    </row>
    <row r="16" spans="1:14" x14ac:dyDescent="0.25">
      <c r="A16" s="17" t="str">
        <f>IF(Sep[[#This Row],[Date]]="","",UPPER(TEXT(Sep[[#This Row],[Date]],"DDD")))</f>
        <v>FRI</v>
      </c>
      <c r="B16" s="5">
        <f>IF(Sep[[#This Row],[Date]]="","",WEEKDAY(Sep[[#This Row],[Date]],11))</f>
        <v>5</v>
      </c>
      <c r="C16" s="5" t="str" cm="1">
        <f t="array" ref="C16">_xlfn.IFNA(_xlfn.XLOOKUP(Sep[[#This Row],[Date]],Obs_day,HN),"")</f>
        <v/>
      </c>
      <c r="D16" s="4">
        <f t="shared" si="0"/>
        <v>45177</v>
      </c>
      <c r="E16" s="61"/>
      <c r="F16" s="61"/>
      <c r="G16" s="61"/>
      <c r="H16" s="61"/>
      <c r="I16" s="62"/>
      <c r="J16" s="60" t="str">
        <f>_xlfn.XLOOKUP(Sep[[#This Row],[Date]],Obs_day,Hol,"")</f>
        <v/>
      </c>
      <c r="L16" s="1">
        <v>45177</v>
      </c>
    </row>
    <row r="17" spans="1:12" x14ac:dyDescent="0.25">
      <c r="A17" s="17" t="str">
        <f>IF(Sep[[#This Row],[Date]]="","",UPPER(TEXT(Sep[[#This Row],[Date]],"DDD")))</f>
        <v>SAT</v>
      </c>
      <c r="B17" s="5">
        <f>IF(Sep[[#This Row],[Date]]="","",WEEKDAY(Sep[[#This Row],[Date]],11))</f>
        <v>6</v>
      </c>
      <c r="C17" s="5" t="str" cm="1">
        <f t="array" ref="C17">_xlfn.IFNA(_xlfn.XLOOKUP(Sep[[#This Row],[Date]],Obs_day,HN),"")</f>
        <v/>
      </c>
      <c r="D17" s="4">
        <f t="shared" si="0"/>
        <v>45178</v>
      </c>
      <c r="E17" s="61"/>
      <c r="F17" s="61"/>
      <c r="G17" s="61"/>
      <c r="H17" s="61"/>
      <c r="I17" s="62"/>
      <c r="J17" s="60" t="str">
        <f>_xlfn.XLOOKUP(Sep[[#This Row],[Date]],Obs_day,Hol,"")</f>
        <v/>
      </c>
      <c r="L17" s="1">
        <v>45178</v>
      </c>
    </row>
    <row r="18" spans="1:12" x14ac:dyDescent="0.25">
      <c r="A18" s="17" t="str">
        <f>IF(Sep[[#This Row],[Date]]="","",UPPER(TEXT(Sep[[#This Row],[Date]],"DDD")))</f>
        <v>SUN</v>
      </c>
      <c r="B18" s="5">
        <f>IF(Sep[[#This Row],[Date]]="","",WEEKDAY(Sep[[#This Row],[Date]],11))</f>
        <v>7</v>
      </c>
      <c r="C18" s="5" t="str" cm="1">
        <f t="array" ref="C18">_xlfn.IFNA(_xlfn.XLOOKUP(Sep[[#This Row],[Date]],Obs_day,HN),"")</f>
        <v/>
      </c>
      <c r="D18" s="4">
        <f t="shared" si="0"/>
        <v>45179</v>
      </c>
      <c r="E18" s="61"/>
      <c r="F18" s="61"/>
      <c r="G18" s="61"/>
      <c r="H18" s="61"/>
      <c r="I18" s="62"/>
      <c r="J18" s="60" t="str">
        <f>_xlfn.XLOOKUP(Sep[[#This Row],[Date]],Obs_day,Hol,"")</f>
        <v/>
      </c>
      <c r="L18" s="1">
        <v>45179</v>
      </c>
    </row>
    <row r="19" spans="1:12" x14ac:dyDescent="0.25">
      <c r="A19" s="17" t="str">
        <f>IF(Sep[[#This Row],[Date]]="","",UPPER(TEXT(Sep[[#This Row],[Date]],"DDD")))</f>
        <v>MON</v>
      </c>
      <c r="B19" s="5">
        <f>IF(Sep[[#This Row],[Date]]="","",WEEKDAY(Sep[[#This Row],[Date]],11))</f>
        <v>1</v>
      </c>
      <c r="C19" s="5" t="str" cm="1">
        <f t="array" ref="C19">_xlfn.IFNA(_xlfn.XLOOKUP(Sep[[#This Row],[Date]],Obs_day,HN),"")</f>
        <v/>
      </c>
      <c r="D19" s="4">
        <f t="shared" si="0"/>
        <v>45180</v>
      </c>
      <c r="E19" s="61"/>
      <c r="F19" s="61"/>
      <c r="G19" s="61"/>
      <c r="H19" s="61"/>
      <c r="I19" s="62"/>
      <c r="J19" s="60" t="str">
        <f>_xlfn.XLOOKUP(Sep[[#This Row],[Date]],Obs_day,Hol,"")</f>
        <v/>
      </c>
      <c r="L19" s="1">
        <v>45180</v>
      </c>
    </row>
    <row r="20" spans="1:12" x14ac:dyDescent="0.25">
      <c r="A20" s="17" t="str">
        <f>IF(Sep[[#This Row],[Date]]="","",UPPER(TEXT(Sep[[#This Row],[Date]],"DDD")))</f>
        <v>TUE</v>
      </c>
      <c r="B20" s="5">
        <f>IF(Sep[[#This Row],[Date]]="","",WEEKDAY(Sep[[#This Row],[Date]],11))</f>
        <v>2</v>
      </c>
      <c r="C20" s="5" t="str" cm="1">
        <f t="array" ref="C20">_xlfn.IFNA(_xlfn.XLOOKUP(Sep[[#This Row],[Date]],Obs_day,HN),"")</f>
        <v/>
      </c>
      <c r="D20" s="4">
        <f t="shared" si="0"/>
        <v>45181</v>
      </c>
      <c r="E20" s="61"/>
      <c r="F20" s="61"/>
      <c r="G20" s="61"/>
      <c r="H20" s="61"/>
      <c r="I20" s="62"/>
      <c r="J20" s="60" t="str">
        <f>_xlfn.XLOOKUP(Sep[[#This Row],[Date]],Obs_day,Hol,"")</f>
        <v/>
      </c>
      <c r="L20" s="1">
        <v>45181</v>
      </c>
    </row>
    <row r="21" spans="1:12" x14ac:dyDescent="0.25">
      <c r="A21" s="17" t="str">
        <f>IF(Sep[[#This Row],[Date]]="","",UPPER(TEXT(Sep[[#This Row],[Date]],"DDD")))</f>
        <v>WED</v>
      </c>
      <c r="B21" s="5">
        <f>IF(Sep[[#This Row],[Date]]="","",WEEKDAY(Sep[[#This Row],[Date]],11))</f>
        <v>3</v>
      </c>
      <c r="C21" s="5" t="str" cm="1">
        <f t="array" ref="C21">_xlfn.IFNA(_xlfn.XLOOKUP(Sep[[#This Row],[Date]],Obs_day,HN),"")</f>
        <v/>
      </c>
      <c r="D21" s="4">
        <f t="shared" si="0"/>
        <v>45182</v>
      </c>
      <c r="E21" s="61"/>
      <c r="F21" s="61"/>
      <c r="G21" s="61"/>
      <c r="H21" s="61"/>
      <c r="I21" s="62"/>
      <c r="J21" s="60" t="str">
        <f>_xlfn.XLOOKUP(Sep[[#This Row],[Date]],Obs_day,Hol,"")</f>
        <v/>
      </c>
      <c r="L21" s="1">
        <v>45182</v>
      </c>
    </row>
    <row r="22" spans="1:12" x14ac:dyDescent="0.25">
      <c r="A22" s="17" t="str">
        <f>IF(Sep[[#This Row],[Date]]="","",UPPER(TEXT(Sep[[#This Row],[Date]],"DDD")))</f>
        <v>THU</v>
      </c>
      <c r="B22" s="5">
        <f>IF(Sep[[#This Row],[Date]]="","",WEEKDAY(Sep[[#This Row],[Date]],11))</f>
        <v>4</v>
      </c>
      <c r="C22" s="5" t="str" cm="1">
        <f t="array" ref="C22">_xlfn.IFNA(_xlfn.XLOOKUP(Sep[[#This Row],[Date]],Obs_day,HN),"")</f>
        <v/>
      </c>
      <c r="D22" s="4">
        <f t="shared" si="0"/>
        <v>45183</v>
      </c>
      <c r="E22" s="61"/>
      <c r="F22" s="61"/>
      <c r="G22" s="61"/>
      <c r="H22" s="61"/>
      <c r="I22" s="62"/>
      <c r="J22" s="60" t="str">
        <f>_xlfn.XLOOKUP(Sep[[#This Row],[Date]],Obs_day,Hol,"")</f>
        <v/>
      </c>
      <c r="L22" s="1">
        <v>45183</v>
      </c>
    </row>
    <row r="23" spans="1:12" x14ac:dyDescent="0.25">
      <c r="A23" s="17" t="str">
        <f>IF(Sep[[#This Row],[Date]]="","",UPPER(TEXT(Sep[[#This Row],[Date]],"DDD")))</f>
        <v>FRI</v>
      </c>
      <c r="B23" s="5">
        <f>IF(Sep[[#This Row],[Date]]="","",WEEKDAY(Sep[[#This Row],[Date]],11))</f>
        <v>5</v>
      </c>
      <c r="C23" s="5" t="str" cm="1">
        <f t="array" ref="C23">_xlfn.IFNA(_xlfn.XLOOKUP(Sep[[#This Row],[Date]],Obs_day,HN),"")</f>
        <v/>
      </c>
      <c r="D23" s="4">
        <f t="shared" si="0"/>
        <v>45184</v>
      </c>
      <c r="E23" s="61"/>
      <c r="F23" s="61"/>
      <c r="G23" s="61"/>
      <c r="H23" s="61"/>
      <c r="I23" s="62"/>
      <c r="J23" s="60" t="str">
        <f>_xlfn.XLOOKUP(Sep[[#This Row],[Date]],Obs_day,Hol,"")</f>
        <v/>
      </c>
      <c r="L23" s="1">
        <v>45184</v>
      </c>
    </row>
    <row r="24" spans="1:12" x14ac:dyDescent="0.25">
      <c r="A24" s="17" t="str">
        <f>IF(Sep[[#This Row],[Date]]="","",UPPER(TEXT(Sep[[#This Row],[Date]],"DDD")))</f>
        <v>SAT</v>
      </c>
      <c r="B24" s="5">
        <f>IF(Sep[[#This Row],[Date]]="","",WEEKDAY(Sep[[#This Row],[Date]],11))</f>
        <v>6</v>
      </c>
      <c r="C24" s="5" t="str" cm="1">
        <f t="array" ref="C24">_xlfn.IFNA(_xlfn.XLOOKUP(Sep[[#This Row],[Date]],Obs_day,HN),"")</f>
        <v/>
      </c>
      <c r="D24" s="4">
        <f t="shared" si="0"/>
        <v>45185</v>
      </c>
      <c r="E24" s="61"/>
      <c r="F24" s="61"/>
      <c r="G24" s="61"/>
      <c r="H24" s="61"/>
      <c r="I24" s="62"/>
      <c r="J24" s="60" t="str">
        <f>_xlfn.XLOOKUP(Sep[[#This Row],[Date]],Obs_day,Hol,"")</f>
        <v/>
      </c>
      <c r="L24" s="1">
        <v>45185</v>
      </c>
    </row>
    <row r="25" spans="1:12" x14ac:dyDescent="0.25">
      <c r="A25" s="17" t="str">
        <f>IF(Sep[[#This Row],[Date]]="","",UPPER(TEXT(Sep[[#This Row],[Date]],"DDD")))</f>
        <v>SUN</v>
      </c>
      <c r="B25" s="5">
        <f>IF(Sep[[#This Row],[Date]]="","",WEEKDAY(Sep[[#This Row],[Date]],11))</f>
        <v>7</v>
      </c>
      <c r="C25" s="5" t="str" cm="1">
        <f t="array" ref="C25">_xlfn.IFNA(_xlfn.XLOOKUP(Sep[[#This Row],[Date]],Obs_day,HN),"")</f>
        <v/>
      </c>
      <c r="D25" s="4">
        <f t="shared" si="0"/>
        <v>45186</v>
      </c>
      <c r="E25" s="61"/>
      <c r="F25" s="61"/>
      <c r="G25" s="61"/>
      <c r="H25" s="61"/>
      <c r="I25" s="62"/>
      <c r="J25" s="60" t="str">
        <f>_xlfn.XLOOKUP(Sep[[#This Row],[Date]],Obs_day,Hol,"")</f>
        <v/>
      </c>
      <c r="L25" s="1">
        <v>45186</v>
      </c>
    </row>
    <row r="26" spans="1:12" x14ac:dyDescent="0.25">
      <c r="A26" s="17" t="str">
        <f>IF(Sep[[#This Row],[Date]]="","",UPPER(TEXT(Sep[[#This Row],[Date]],"DDD")))</f>
        <v>MON</v>
      </c>
      <c r="B26" s="5">
        <f>IF(Sep[[#This Row],[Date]]="","",WEEKDAY(Sep[[#This Row],[Date]],11))</f>
        <v>1</v>
      </c>
      <c r="C26" s="5" t="str" cm="1">
        <f t="array" ref="C26">_xlfn.IFNA(_xlfn.XLOOKUP(Sep[[#This Row],[Date]],Obs_day,HN),"")</f>
        <v/>
      </c>
      <c r="D26" s="4">
        <f t="shared" si="0"/>
        <v>45187</v>
      </c>
      <c r="E26" s="61"/>
      <c r="F26" s="61"/>
      <c r="G26" s="61"/>
      <c r="H26" s="61"/>
      <c r="I26" s="62"/>
      <c r="J26" s="60" t="str">
        <f>_xlfn.XLOOKUP(Sep[[#This Row],[Date]],Obs_day,Hol,"")</f>
        <v/>
      </c>
      <c r="L26" s="1">
        <v>45187</v>
      </c>
    </row>
    <row r="27" spans="1:12" x14ac:dyDescent="0.25">
      <c r="A27" s="17" t="str">
        <f>IF(Sep[[#This Row],[Date]]="","",UPPER(TEXT(Sep[[#This Row],[Date]],"DDD")))</f>
        <v>TUE</v>
      </c>
      <c r="B27" s="5">
        <f>IF(Sep[[#This Row],[Date]]="","",WEEKDAY(Sep[[#This Row],[Date]],11))</f>
        <v>2</v>
      </c>
      <c r="C27" s="5" t="str" cm="1">
        <f t="array" ref="C27">_xlfn.IFNA(_xlfn.XLOOKUP(Sep[[#This Row],[Date]],Obs_day,HN),"")</f>
        <v/>
      </c>
      <c r="D27" s="4">
        <f t="shared" si="0"/>
        <v>45188</v>
      </c>
      <c r="E27" s="61"/>
      <c r="F27" s="61"/>
      <c r="G27" s="61"/>
      <c r="H27" s="61"/>
      <c r="I27" s="62"/>
      <c r="J27" s="60" t="str">
        <f>_xlfn.XLOOKUP(Sep[[#This Row],[Date]],Obs_day,Hol,"")</f>
        <v/>
      </c>
      <c r="L27" s="1">
        <v>45188</v>
      </c>
    </row>
    <row r="28" spans="1:12" x14ac:dyDescent="0.25">
      <c r="A28" s="17" t="str">
        <f>IF(Sep[[#This Row],[Date]]="","",UPPER(TEXT(Sep[[#This Row],[Date]],"DDD")))</f>
        <v>WED</v>
      </c>
      <c r="B28" s="5">
        <f>IF(Sep[[#This Row],[Date]]="","",WEEKDAY(Sep[[#This Row],[Date]],11))</f>
        <v>3</v>
      </c>
      <c r="C28" s="5" t="str" cm="1">
        <f t="array" ref="C28">_xlfn.IFNA(_xlfn.XLOOKUP(Sep[[#This Row],[Date]],Obs_day,HN),"")</f>
        <v/>
      </c>
      <c r="D28" s="4">
        <f t="shared" si="0"/>
        <v>45189</v>
      </c>
      <c r="E28" s="61"/>
      <c r="F28" s="61"/>
      <c r="G28" s="61"/>
      <c r="H28" s="61"/>
      <c r="I28" s="62"/>
      <c r="J28" s="60" t="str">
        <f>_xlfn.XLOOKUP(Sep[[#This Row],[Date]],Obs_day,Hol,"")</f>
        <v/>
      </c>
      <c r="L28" s="1">
        <v>45189</v>
      </c>
    </row>
    <row r="29" spans="1:12" x14ac:dyDescent="0.25">
      <c r="A29" s="17" t="str">
        <f>IF(Sep[[#This Row],[Date]]="","",UPPER(TEXT(Sep[[#This Row],[Date]],"DDD")))</f>
        <v>THU</v>
      </c>
      <c r="B29" s="5">
        <f>IF(Sep[[#This Row],[Date]]="","",WEEKDAY(Sep[[#This Row],[Date]],11))</f>
        <v>4</v>
      </c>
      <c r="C29" s="5" t="str" cm="1">
        <f t="array" ref="C29">_xlfn.IFNA(_xlfn.XLOOKUP(Sep[[#This Row],[Date]],Obs_day,HN),"")</f>
        <v/>
      </c>
      <c r="D29" s="4">
        <f t="shared" si="0"/>
        <v>45190</v>
      </c>
      <c r="E29" s="61"/>
      <c r="F29" s="61"/>
      <c r="G29" s="61"/>
      <c r="H29" s="61"/>
      <c r="I29" s="62"/>
      <c r="J29" s="60" t="str">
        <f>_xlfn.XLOOKUP(Sep[[#This Row],[Date]],Obs_day,Hol,"")</f>
        <v/>
      </c>
      <c r="L29" s="1">
        <v>45190</v>
      </c>
    </row>
    <row r="30" spans="1:12" x14ac:dyDescent="0.25">
      <c r="A30" s="17" t="str">
        <f>IF(Sep[[#This Row],[Date]]="","",UPPER(TEXT(Sep[[#This Row],[Date]],"DDD")))</f>
        <v>FRI</v>
      </c>
      <c r="B30" s="5">
        <f>IF(Sep[[#This Row],[Date]]="","",WEEKDAY(Sep[[#This Row],[Date]],11))</f>
        <v>5</v>
      </c>
      <c r="C30" s="5" t="str" cm="1">
        <f t="array" ref="C30">_xlfn.IFNA(_xlfn.XLOOKUP(Sep[[#This Row],[Date]],Obs_day,HN),"")</f>
        <v/>
      </c>
      <c r="D30" s="4">
        <f t="shared" si="0"/>
        <v>45191</v>
      </c>
      <c r="E30" s="61"/>
      <c r="F30" s="61"/>
      <c r="G30" s="61"/>
      <c r="H30" s="61"/>
      <c r="I30" s="62"/>
      <c r="J30" s="60" t="str">
        <f>_xlfn.XLOOKUP(Sep[[#This Row],[Date]],Obs_day,Hol,"")</f>
        <v/>
      </c>
      <c r="L30" s="1">
        <v>45191</v>
      </c>
    </row>
    <row r="31" spans="1:12" x14ac:dyDescent="0.25">
      <c r="A31" s="17" t="str">
        <f>IF(Sep[[#This Row],[Date]]="","",UPPER(TEXT(Sep[[#This Row],[Date]],"DDD")))</f>
        <v>SAT</v>
      </c>
      <c r="B31" s="5">
        <f>IF(Sep[[#This Row],[Date]]="","",WEEKDAY(Sep[[#This Row],[Date]],11))</f>
        <v>6</v>
      </c>
      <c r="C31" s="5" t="str" cm="1">
        <f t="array" ref="C31">_xlfn.IFNA(_xlfn.XLOOKUP(Sep[[#This Row],[Date]],Obs_day,HN),"")</f>
        <v/>
      </c>
      <c r="D31" s="4">
        <f t="shared" si="0"/>
        <v>45192</v>
      </c>
      <c r="E31" s="61"/>
      <c r="F31" s="61"/>
      <c r="G31" s="61"/>
      <c r="H31" s="61"/>
      <c r="I31" s="62"/>
      <c r="J31" s="60" t="str">
        <f>_xlfn.XLOOKUP(Sep[[#This Row],[Date]],Obs_day,Hol,"")</f>
        <v/>
      </c>
      <c r="L31" s="1">
        <v>45192</v>
      </c>
    </row>
    <row r="32" spans="1:12" x14ac:dyDescent="0.25">
      <c r="A32" s="17" t="str">
        <f>IF(Sep[[#This Row],[Date]]="","",UPPER(TEXT(Sep[[#This Row],[Date]],"DDD")))</f>
        <v>SUN</v>
      </c>
      <c r="B32" s="5">
        <f>IF(Sep[[#This Row],[Date]]="","",WEEKDAY(Sep[[#This Row],[Date]],11))</f>
        <v>7</v>
      </c>
      <c r="C32" s="5" t="str" cm="1">
        <f t="array" ref="C32">_xlfn.IFNA(_xlfn.XLOOKUP(Sep[[#This Row],[Date]],Obs_day,HN),"")</f>
        <v/>
      </c>
      <c r="D32" s="4">
        <f t="shared" si="0"/>
        <v>45193</v>
      </c>
      <c r="E32" s="61"/>
      <c r="F32" s="61"/>
      <c r="G32" s="61"/>
      <c r="H32" s="61"/>
      <c r="I32" s="62"/>
      <c r="J32" s="60" t="str">
        <f>_xlfn.XLOOKUP(Sep[[#This Row],[Date]],Obs_day,Hol,"")</f>
        <v/>
      </c>
      <c r="L32" s="1">
        <v>45193</v>
      </c>
    </row>
    <row r="33" spans="1:12" x14ac:dyDescent="0.25">
      <c r="A33" s="17" t="str">
        <f>IF(Sep[[#This Row],[Date]]="","",UPPER(TEXT(Sep[[#This Row],[Date]],"DDD")))</f>
        <v>MON</v>
      </c>
      <c r="B33" s="5">
        <f>IF(Sep[[#This Row],[Date]]="","",WEEKDAY(Sep[[#This Row],[Date]],11))</f>
        <v>1</v>
      </c>
      <c r="C33" s="5" t="str" cm="1">
        <f t="array" ref="C33">_xlfn.IFNA(_xlfn.XLOOKUP(Sep[[#This Row],[Date]],Obs_day,HN),"")</f>
        <v/>
      </c>
      <c r="D33" s="4">
        <f t="shared" si="0"/>
        <v>45194</v>
      </c>
      <c r="E33" s="61"/>
      <c r="F33" s="61"/>
      <c r="G33" s="61"/>
      <c r="H33" s="61"/>
      <c r="I33" s="62"/>
      <c r="J33" s="60" t="str">
        <f>_xlfn.XLOOKUP(Sep[[#This Row],[Date]],Obs_day,Hol,"")</f>
        <v/>
      </c>
      <c r="L33" s="1">
        <v>45194</v>
      </c>
    </row>
    <row r="34" spans="1:12" x14ac:dyDescent="0.25">
      <c r="A34" s="17" t="str">
        <f>IF(Sep[[#This Row],[Date]]="","",UPPER(TEXT(Sep[[#This Row],[Date]],"DDD")))</f>
        <v>TUE</v>
      </c>
      <c r="B34" s="5">
        <f>IF(Sep[[#This Row],[Date]]="","",WEEKDAY(Sep[[#This Row],[Date]],11))</f>
        <v>2</v>
      </c>
      <c r="C34" s="5" t="str" cm="1">
        <f t="array" ref="C34">_xlfn.IFNA(_xlfn.XLOOKUP(Sep[[#This Row],[Date]],Obs_day,HN),"")</f>
        <v/>
      </c>
      <c r="D34" s="4">
        <f t="shared" si="0"/>
        <v>45195</v>
      </c>
      <c r="E34" s="61"/>
      <c r="F34" s="61"/>
      <c r="G34" s="61"/>
      <c r="H34" s="61"/>
      <c r="I34" s="62"/>
      <c r="J34" s="60" t="str">
        <f>_xlfn.XLOOKUP(Sep[[#This Row],[Date]],Obs_day,Hol,"")</f>
        <v/>
      </c>
      <c r="L34" s="1">
        <v>45195</v>
      </c>
    </row>
    <row r="35" spans="1:12" x14ac:dyDescent="0.25">
      <c r="A35" s="17" t="str">
        <f>IF(Sep[[#This Row],[Date]]="","",UPPER(TEXT(Sep[[#This Row],[Date]],"DDD")))</f>
        <v>WED</v>
      </c>
      <c r="B35" s="5">
        <f>IF(Sep[[#This Row],[Date]]="","",WEEKDAY(Sep[[#This Row],[Date]],11))</f>
        <v>3</v>
      </c>
      <c r="C35" s="5" t="str" cm="1">
        <f t="array" ref="C35">_xlfn.IFNA(_xlfn.XLOOKUP(Sep[[#This Row],[Date]],Obs_day,HN),"")</f>
        <v/>
      </c>
      <c r="D35" s="4">
        <f t="shared" si="0"/>
        <v>45196</v>
      </c>
      <c r="E35" s="61"/>
      <c r="F35" s="61"/>
      <c r="G35" s="61"/>
      <c r="H35" s="61"/>
      <c r="I35" s="62"/>
      <c r="J35" s="60" t="str">
        <f>_xlfn.XLOOKUP(Sep[[#This Row],[Date]],Obs_day,Hol,"")</f>
        <v/>
      </c>
      <c r="L35" s="1">
        <v>45196</v>
      </c>
    </row>
    <row r="36" spans="1:12" x14ac:dyDescent="0.25">
      <c r="A36" s="17" t="str">
        <f>IF(Sep[[#This Row],[Date]]="","",UPPER(TEXT(Sep[[#This Row],[Date]],"DDD")))</f>
        <v>THU</v>
      </c>
      <c r="B36" s="5">
        <f>IF(Sep[[#This Row],[Date]]="","",WEEKDAY(Sep[[#This Row],[Date]],11))</f>
        <v>4</v>
      </c>
      <c r="C36" s="5" t="str" cm="1">
        <f t="array" ref="C36">_xlfn.IFNA(_xlfn.XLOOKUP(Sep[[#This Row],[Date]],Obs_day,HN),"")</f>
        <v/>
      </c>
      <c r="D36" s="4">
        <f t="shared" si="0"/>
        <v>45197</v>
      </c>
      <c r="E36" s="61"/>
      <c r="F36" s="61"/>
      <c r="G36" s="61"/>
      <c r="H36" s="61"/>
      <c r="I36" s="62"/>
      <c r="J36" s="60" t="str">
        <f>_xlfn.XLOOKUP(Sep[[#This Row],[Date]],Obs_day,Hol,"")</f>
        <v/>
      </c>
      <c r="L36" s="1">
        <v>45197</v>
      </c>
    </row>
    <row r="37" spans="1:12" x14ac:dyDescent="0.25">
      <c r="A37" s="17" t="str">
        <f>IF(Sep[[#This Row],[Date]]="","",UPPER(TEXT(Sep[[#This Row],[Date]],"DDD")))</f>
        <v>FRI</v>
      </c>
      <c r="B37" s="5">
        <f>IF(Sep[[#This Row],[Date]]="","",WEEKDAY(Sep[[#This Row],[Date]],11))</f>
        <v>5</v>
      </c>
      <c r="C37" s="5" t="str" cm="1">
        <f t="array" ref="C37">_xlfn.IFNA(_xlfn.XLOOKUP(Sep[[#This Row],[Date]],Obs_day,HN),"")</f>
        <v/>
      </c>
      <c r="D37" s="4">
        <f t="shared" si="0"/>
        <v>45198</v>
      </c>
      <c r="E37" s="61"/>
      <c r="F37" s="61"/>
      <c r="G37" s="61"/>
      <c r="H37" s="61"/>
      <c r="I37" s="62"/>
      <c r="J37" s="60" t="str">
        <f>_xlfn.XLOOKUP(Sep[[#This Row],[Date]],Obs_day,Hol,"")</f>
        <v/>
      </c>
      <c r="L37" s="1">
        <v>45198</v>
      </c>
    </row>
    <row r="38" spans="1:12" x14ac:dyDescent="0.25">
      <c r="A38" s="17" t="str">
        <f>IF(Sep[[#This Row],[Date]]="","",UPPER(TEXT(Sep[[#This Row],[Date]],"DDD")))</f>
        <v>SAT</v>
      </c>
      <c r="B38" s="5">
        <f>IF(Sep[[#This Row],[Date]]="","",WEEKDAY(Sep[[#This Row],[Date]],11))</f>
        <v>6</v>
      </c>
      <c r="C38" s="5" t="str" cm="1">
        <f t="array" ref="C38">_xlfn.IFNA(_xlfn.XLOOKUP(Sep[[#This Row],[Date]],Obs_day,HN),"")</f>
        <v/>
      </c>
      <c r="D38" s="4">
        <f t="shared" si="0"/>
        <v>45199</v>
      </c>
      <c r="E38" s="61"/>
      <c r="F38" s="61"/>
      <c r="G38" s="61"/>
      <c r="H38" s="61"/>
      <c r="I38" s="62"/>
      <c r="J38" s="60" t="str">
        <f>_xlfn.XLOOKUP(Sep[[#This Row],[Date]],Obs_day,Hol,"")</f>
        <v/>
      </c>
      <c r="L38" s="1">
        <v>45199</v>
      </c>
    </row>
    <row r="39" spans="1:12" x14ac:dyDescent="0.25">
      <c r="A39" s="30"/>
      <c r="B39" s="31"/>
      <c r="C39" s="31"/>
      <c r="D39" s="32"/>
      <c r="E39" s="34">
        <f>SUBTOTAL(109,Sep[Vacation
Hours])</f>
        <v>0</v>
      </c>
      <c r="F39" s="34">
        <f>SUBTOTAL(109,Sep[Sick
Hours])</f>
        <v>0</v>
      </c>
      <c r="G39" s="34">
        <f>SUBTOTAL(109,Sep[Float.
Hours])</f>
        <v>0</v>
      </c>
      <c r="H39" s="34">
        <f>SUBTOTAL(109,Sep[Other
Hours])</f>
        <v>0</v>
      </c>
      <c r="I39" s="28"/>
      <c r="J39" s="29"/>
      <c r="L39" s="1"/>
    </row>
    <row r="40" spans="1:12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ht="15.75" thickBot="1" x14ac:dyDescent="0.3">
      <c r="A42" s="66"/>
      <c r="B42" s="66"/>
      <c r="C42" s="66"/>
      <c r="D42" s="66"/>
      <c r="E42" s="66"/>
      <c r="F42" s="66"/>
      <c r="G42" s="66"/>
      <c r="H42" s="65"/>
      <c r="I42" s="65"/>
      <c r="J42" s="65"/>
    </row>
    <row r="43" spans="1:12" x14ac:dyDescent="0.25">
      <c r="A43" s="7" t="s">
        <v>38</v>
      </c>
      <c r="B43" s="7"/>
      <c r="C43" s="7"/>
      <c r="D43" s="7"/>
      <c r="E43" s="7"/>
      <c r="F43" s="7"/>
      <c r="G43" s="7" t="s">
        <v>7</v>
      </c>
    </row>
    <row r="44" spans="1:12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2" ht="15.75" thickBot="1" x14ac:dyDescent="0.3">
      <c r="A45" s="66"/>
      <c r="B45" s="66"/>
      <c r="C45" s="66"/>
      <c r="D45" s="66"/>
      <c r="E45" s="66"/>
      <c r="F45" s="66"/>
      <c r="G45" s="66"/>
      <c r="H45" s="65"/>
      <c r="I45" s="65"/>
      <c r="J45" s="65"/>
    </row>
    <row r="46" spans="1:12" x14ac:dyDescent="0.25">
      <c r="A46" s="7" t="s">
        <v>39</v>
      </c>
      <c r="G46" s="7" t="s">
        <v>7</v>
      </c>
    </row>
  </sheetData>
  <sheetProtection algorithmName="SHA-512" hashValue="HfNqjas/DOUY5w+/Dq51pc6PFKxA/aUmvctq0QzrhCPwN+6rzZtcHdj3eP9Rq789G29FqVyMra58jZgGT8qkkw==" saltValue="1/a6d/0I1ukxgpDizj3whA==" spinCount="100000" sheet="1" objects="1" scenarios="1"/>
  <mergeCells count="2">
    <mergeCell ref="D5:F5"/>
    <mergeCell ref="D6:F6"/>
  </mergeCells>
  <conditionalFormatting sqref="E9:J38">
    <cfRule type="expression" dxfId="109" priority="1">
      <formula>$C9=1</formula>
    </cfRule>
    <cfRule type="expression" dxfId="108" priority="2">
      <formula>$B9&gt;5</formula>
    </cfRule>
  </conditionalFormatting>
  <dataValidations count="2">
    <dataValidation type="list" allowBlank="1" showInputMessage="1" showErrorMessage="1" sqref="I9:I38" xr:uid="{1E1080FE-B122-4A8C-B701-8ECFDCD87AC3}">
      <formula1>Codes_for_Other</formula1>
    </dataValidation>
    <dataValidation allowBlank="1" showInputMessage="1" showErrorMessage="1" promptTitle="Personal Information Update" prompt="Enter your Name, ID, and Location in the Jan sheet." sqref="D5:F5" xr:uid="{85CE44F6-F1F9-4272-9F59-9BAF4EDBF326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872F4B-57FC-4C43-8980-027A0699BEE2}">
  <sheetPr>
    <pageSetUpPr fitToPage="1"/>
  </sheetPr>
  <dimension ref="A1:N47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EOMONTH(Jan!J4,8)+1</f>
        <v>45200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COUNT(Oct[Date])</f>
        <v>31</v>
      </c>
    </row>
    <row r="7" spans="1:14" x14ac:dyDescent="0.25">
      <c r="L7">
        <f>_xlfn.DAYS(EOMONTH(J4,0)+1,J4)</f>
        <v>31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Oct Date</v>
      </c>
    </row>
    <row r="9" spans="1:14" ht="15.75" thickTop="1" x14ac:dyDescent="0.25">
      <c r="A9" s="18" t="str">
        <f>IF(Oct[[#This Row],[Date]]="","",UPPER(TEXT(Oct[[#This Row],[Date]],"DDD")))</f>
        <v>SUN</v>
      </c>
      <c r="B9" s="5">
        <f>IF(Oct[[#This Row],[Date]]="","",WEEKDAY(Oct[[#This Row],[Date]],11))</f>
        <v>7</v>
      </c>
      <c r="C9" s="5" t="str" cm="1">
        <f t="array" ref="C9">_xlfn.IFNA(_xlfn.XLOOKUP(Oct[[#This Row],[Date]],Obs_day,HN),"")</f>
        <v/>
      </c>
      <c r="D9" s="3">
        <f>IF(L9&gt;0,L9,"")</f>
        <v>45200</v>
      </c>
      <c r="E9" s="58"/>
      <c r="F9" s="58"/>
      <c r="G9" s="58"/>
      <c r="H9" s="58"/>
      <c r="I9" s="59"/>
      <c r="J9" s="60" t="str">
        <f>_xlfn.XLOOKUP(Oct[[#This Row],[Date]],Obs_day,Hol,"")</f>
        <v/>
      </c>
      <c r="L9" s="1" cm="1">
        <f t="array" ref="L9:L39">_xlfn.SEQUENCE(L7,1,J4,1)</f>
        <v>45200</v>
      </c>
      <c r="N9" s="41"/>
    </row>
    <row r="10" spans="1:14" x14ac:dyDescent="0.25">
      <c r="A10" s="17" t="str">
        <f>IF(Oct[[#This Row],[Date]]="","",UPPER(TEXT(Oct[[#This Row],[Date]],"DDD")))</f>
        <v>MON</v>
      </c>
      <c r="B10" s="5">
        <f>IF(Oct[[#This Row],[Date]]="","",WEEKDAY(Oct[[#This Row],[Date]],11))</f>
        <v>1</v>
      </c>
      <c r="C10" s="5" t="str" cm="1">
        <f t="array" ref="C10">_xlfn.IFNA(_xlfn.XLOOKUP(Oct[[#This Row],[Date]],Obs_day,HN),"")</f>
        <v/>
      </c>
      <c r="D10" s="4">
        <f t="shared" ref="D10:D39" si="0">IF(L10&gt;0,L10,"")</f>
        <v>45201</v>
      </c>
      <c r="E10" s="61"/>
      <c r="F10" s="61"/>
      <c r="G10" s="61"/>
      <c r="H10" s="61"/>
      <c r="I10" s="62"/>
      <c r="J10" s="60" t="str">
        <f>_xlfn.XLOOKUP(Oct[[#This Row],[Date]],Obs_day,Hol,"")</f>
        <v/>
      </c>
      <c r="L10" s="1">
        <v>45201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IF(Oct[[#This Row],[Date]]="","",UPPER(TEXT(Oct[[#This Row],[Date]],"DDD")))</f>
        <v>TUE</v>
      </c>
      <c r="B11" s="5">
        <f>IF(Oct[[#This Row],[Date]]="","",WEEKDAY(Oct[[#This Row],[Date]],11))</f>
        <v>2</v>
      </c>
      <c r="C11" s="5" t="str" cm="1">
        <f t="array" ref="C11">_xlfn.IFNA(_xlfn.XLOOKUP(Oct[[#This Row],[Date]],Obs_day,HN),"")</f>
        <v/>
      </c>
      <c r="D11" s="4">
        <f t="shared" si="0"/>
        <v>45202</v>
      </c>
      <c r="E11" s="61"/>
      <c r="F11" s="61"/>
      <c r="G11" s="61"/>
      <c r="H11" s="61"/>
      <c r="I11" s="62"/>
      <c r="J11" s="60" t="str">
        <f>_xlfn.XLOOKUP(Oct[[#This Row],[Date]],Obs_day,Hol,"")</f>
        <v/>
      </c>
      <c r="L11" s="1">
        <v>45202</v>
      </c>
    </row>
    <row r="12" spans="1:14" x14ac:dyDescent="0.25">
      <c r="A12" s="17" t="str">
        <f>IF(Oct[[#This Row],[Date]]="","",UPPER(TEXT(Oct[[#This Row],[Date]],"DDD")))</f>
        <v>WED</v>
      </c>
      <c r="B12" s="5">
        <f>IF(Oct[[#This Row],[Date]]="","",WEEKDAY(Oct[[#This Row],[Date]],11))</f>
        <v>3</v>
      </c>
      <c r="C12" s="5" t="str" cm="1">
        <f t="array" ref="C12">_xlfn.IFNA(_xlfn.XLOOKUP(Oct[[#This Row],[Date]],Obs_day,HN),"")</f>
        <v/>
      </c>
      <c r="D12" s="4">
        <f t="shared" si="0"/>
        <v>45203</v>
      </c>
      <c r="E12" s="61"/>
      <c r="F12" s="61"/>
      <c r="G12" s="61"/>
      <c r="H12" s="61"/>
      <c r="I12" s="62"/>
      <c r="J12" s="60" t="str">
        <f>_xlfn.XLOOKUP(Oct[[#This Row],[Date]],Obs_day,Hol,"")</f>
        <v/>
      </c>
      <c r="L12" s="1">
        <v>45203</v>
      </c>
    </row>
    <row r="13" spans="1:14" x14ac:dyDescent="0.25">
      <c r="A13" s="17" t="str">
        <f>IF(Oct[[#This Row],[Date]]="","",UPPER(TEXT(Oct[[#This Row],[Date]],"DDD")))</f>
        <v>THU</v>
      </c>
      <c r="B13" s="5">
        <f>IF(Oct[[#This Row],[Date]]="","",WEEKDAY(Oct[[#This Row],[Date]],11))</f>
        <v>4</v>
      </c>
      <c r="C13" s="5" t="str" cm="1">
        <f t="array" ref="C13">_xlfn.IFNA(_xlfn.XLOOKUP(Oct[[#This Row],[Date]],Obs_day,HN),"")</f>
        <v/>
      </c>
      <c r="D13" s="4">
        <f t="shared" si="0"/>
        <v>45204</v>
      </c>
      <c r="E13" s="61"/>
      <c r="F13" s="61"/>
      <c r="G13" s="61"/>
      <c r="H13" s="61"/>
      <c r="I13" s="62"/>
      <c r="J13" s="60" t="str">
        <f>_xlfn.XLOOKUP(Oct[[#This Row],[Date]],Obs_day,Hol,"")</f>
        <v/>
      </c>
      <c r="L13" s="1">
        <v>45204</v>
      </c>
    </row>
    <row r="14" spans="1:14" x14ac:dyDescent="0.25">
      <c r="A14" s="17" t="str">
        <f>IF(Oct[[#This Row],[Date]]="","",UPPER(TEXT(Oct[[#This Row],[Date]],"DDD")))</f>
        <v>FRI</v>
      </c>
      <c r="B14" s="5">
        <f>IF(Oct[[#This Row],[Date]]="","",WEEKDAY(Oct[[#This Row],[Date]],11))</f>
        <v>5</v>
      </c>
      <c r="C14" s="5" t="str" cm="1">
        <f t="array" ref="C14">_xlfn.IFNA(_xlfn.XLOOKUP(Oct[[#This Row],[Date]],Obs_day,HN),"")</f>
        <v/>
      </c>
      <c r="D14" s="4">
        <f t="shared" si="0"/>
        <v>45205</v>
      </c>
      <c r="E14" s="61"/>
      <c r="F14" s="61"/>
      <c r="G14" s="61"/>
      <c r="H14" s="61"/>
      <c r="I14" s="62"/>
      <c r="J14" s="60" t="str">
        <f>_xlfn.XLOOKUP(Oct[[#This Row],[Date]],Obs_day,Hol,"")</f>
        <v/>
      </c>
      <c r="L14" s="1">
        <v>45205</v>
      </c>
    </row>
    <row r="15" spans="1:14" x14ac:dyDescent="0.25">
      <c r="A15" s="17" t="str">
        <f>IF(Oct[[#This Row],[Date]]="","",UPPER(TEXT(Oct[[#This Row],[Date]],"DDD")))</f>
        <v>SAT</v>
      </c>
      <c r="B15" s="5">
        <f>IF(Oct[[#This Row],[Date]]="","",WEEKDAY(Oct[[#This Row],[Date]],11))</f>
        <v>6</v>
      </c>
      <c r="C15" s="5" t="str" cm="1">
        <f t="array" ref="C15">_xlfn.IFNA(_xlfn.XLOOKUP(Oct[[#This Row],[Date]],Obs_day,HN),"")</f>
        <v/>
      </c>
      <c r="D15" s="4">
        <f t="shared" si="0"/>
        <v>45206</v>
      </c>
      <c r="E15" s="61"/>
      <c r="F15" s="61"/>
      <c r="G15" s="61"/>
      <c r="H15" s="61"/>
      <c r="I15" s="62"/>
      <c r="J15" s="60" t="str">
        <f>_xlfn.XLOOKUP(Oct[[#This Row],[Date]],Obs_day,Hol,"")</f>
        <v/>
      </c>
      <c r="L15" s="1">
        <v>45206</v>
      </c>
    </row>
    <row r="16" spans="1:14" x14ac:dyDescent="0.25">
      <c r="A16" s="17" t="str">
        <f>IF(Oct[[#This Row],[Date]]="","",UPPER(TEXT(Oct[[#This Row],[Date]],"DDD")))</f>
        <v>SUN</v>
      </c>
      <c r="B16" s="5">
        <f>IF(Oct[[#This Row],[Date]]="","",WEEKDAY(Oct[[#This Row],[Date]],11))</f>
        <v>7</v>
      </c>
      <c r="C16" s="5" t="str" cm="1">
        <f t="array" ref="C16">_xlfn.IFNA(_xlfn.XLOOKUP(Oct[[#This Row],[Date]],Obs_day,HN),"")</f>
        <v/>
      </c>
      <c r="D16" s="4">
        <f t="shared" si="0"/>
        <v>45207</v>
      </c>
      <c r="E16" s="61"/>
      <c r="F16" s="61"/>
      <c r="G16" s="61"/>
      <c r="H16" s="61"/>
      <c r="I16" s="62"/>
      <c r="J16" s="60" t="str">
        <f>_xlfn.XLOOKUP(Oct[[#This Row],[Date]],Obs_day,Hol,"")</f>
        <v/>
      </c>
      <c r="L16" s="1">
        <v>45207</v>
      </c>
    </row>
    <row r="17" spans="1:12" x14ac:dyDescent="0.25">
      <c r="A17" s="17" t="str">
        <f>IF(Oct[[#This Row],[Date]]="","",UPPER(TEXT(Oct[[#This Row],[Date]],"DDD")))</f>
        <v>MON</v>
      </c>
      <c r="B17" s="5">
        <f>IF(Oct[[#This Row],[Date]]="","",WEEKDAY(Oct[[#This Row],[Date]],11))</f>
        <v>1</v>
      </c>
      <c r="C17" s="5" t="str" cm="1">
        <f t="array" ref="C17">_xlfn.IFNA(_xlfn.XLOOKUP(Oct[[#This Row],[Date]],Obs_day,HN),"")</f>
        <v/>
      </c>
      <c r="D17" s="4">
        <f t="shared" si="0"/>
        <v>45208</v>
      </c>
      <c r="E17" s="61"/>
      <c r="F17" s="61"/>
      <c r="G17" s="61"/>
      <c r="H17" s="61"/>
      <c r="I17" s="62"/>
      <c r="J17" s="60" t="str">
        <f>_xlfn.XLOOKUP(Oct[[#This Row],[Date]],Obs_day,Hol,"")</f>
        <v/>
      </c>
      <c r="L17" s="1">
        <v>45208</v>
      </c>
    </row>
    <row r="18" spans="1:12" x14ac:dyDescent="0.25">
      <c r="A18" s="17" t="str">
        <f>IF(Oct[[#This Row],[Date]]="","",UPPER(TEXT(Oct[[#This Row],[Date]],"DDD")))</f>
        <v>TUE</v>
      </c>
      <c r="B18" s="5">
        <f>IF(Oct[[#This Row],[Date]]="","",WEEKDAY(Oct[[#This Row],[Date]],11))</f>
        <v>2</v>
      </c>
      <c r="C18" s="5" t="str" cm="1">
        <f t="array" ref="C18">_xlfn.IFNA(_xlfn.XLOOKUP(Oct[[#This Row],[Date]],Obs_day,HN),"")</f>
        <v/>
      </c>
      <c r="D18" s="4">
        <f t="shared" si="0"/>
        <v>45209</v>
      </c>
      <c r="E18" s="61"/>
      <c r="F18" s="61"/>
      <c r="G18" s="61"/>
      <c r="H18" s="61"/>
      <c r="I18" s="62"/>
      <c r="J18" s="60" t="str">
        <f>_xlfn.XLOOKUP(Oct[[#This Row],[Date]],Obs_day,Hol,"")</f>
        <v/>
      </c>
      <c r="L18" s="1">
        <v>45209</v>
      </c>
    </row>
    <row r="19" spans="1:12" x14ac:dyDescent="0.25">
      <c r="A19" s="17" t="str">
        <f>IF(Oct[[#This Row],[Date]]="","",UPPER(TEXT(Oct[[#This Row],[Date]],"DDD")))</f>
        <v>WED</v>
      </c>
      <c r="B19" s="5">
        <f>IF(Oct[[#This Row],[Date]]="","",WEEKDAY(Oct[[#This Row],[Date]],11))</f>
        <v>3</v>
      </c>
      <c r="C19" s="5" t="str" cm="1">
        <f t="array" ref="C19">_xlfn.IFNA(_xlfn.XLOOKUP(Oct[[#This Row],[Date]],Obs_day,HN),"")</f>
        <v/>
      </c>
      <c r="D19" s="4">
        <f t="shared" si="0"/>
        <v>45210</v>
      </c>
      <c r="E19" s="61"/>
      <c r="F19" s="61"/>
      <c r="G19" s="61"/>
      <c r="H19" s="61"/>
      <c r="I19" s="62"/>
      <c r="J19" s="60" t="str">
        <f>_xlfn.XLOOKUP(Oct[[#This Row],[Date]],Obs_day,Hol,"")</f>
        <v/>
      </c>
      <c r="L19" s="1">
        <v>45210</v>
      </c>
    </row>
    <row r="20" spans="1:12" x14ac:dyDescent="0.25">
      <c r="A20" s="17" t="str">
        <f>IF(Oct[[#This Row],[Date]]="","",UPPER(TEXT(Oct[[#This Row],[Date]],"DDD")))</f>
        <v>THU</v>
      </c>
      <c r="B20" s="5">
        <f>IF(Oct[[#This Row],[Date]]="","",WEEKDAY(Oct[[#This Row],[Date]],11))</f>
        <v>4</v>
      </c>
      <c r="C20" s="5" t="str" cm="1">
        <f t="array" ref="C20">_xlfn.IFNA(_xlfn.XLOOKUP(Oct[[#This Row],[Date]],Obs_day,HN),"")</f>
        <v/>
      </c>
      <c r="D20" s="4">
        <f t="shared" si="0"/>
        <v>45211</v>
      </c>
      <c r="E20" s="61"/>
      <c r="F20" s="61"/>
      <c r="G20" s="61"/>
      <c r="H20" s="61"/>
      <c r="I20" s="62"/>
      <c r="J20" s="60" t="str">
        <f>_xlfn.XLOOKUP(Oct[[#This Row],[Date]],Obs_day,Hol,"")</f>
        <v/>
      </c>
      <c r="L20" s="1">
        <v>45211</v>
      </c>
    </row>
    <row r="21" spans="1:12" x14ac:dyDescent="0.25">
      <c r="A21" s="17" t="str">
        <f>IF(Oct[[#This Row],[Date]]="","",UPPER(TEXT(Oct[[#This Row],[Date]],"DDD")))</f>
        <v>FRI</v>
      </c>
      <c r="B21" s="5">
        <f>IF(Oct[[#This Row],[Date]]="","",WEEKDAY(Oct[[#This Row],[Date]],11))</f>
        <v>5</v>
      </c>
      <c r="C21" s="5" t="str" cm="1">
        <f t="array" ref="C21">_xlfn.IFNA(_xlfn.XLOOKUP(Oct[[#This Row],[Date]],Obs_day,HN),"")</f>
        <v/>
      </c>
      <c r="D21" s="4">
        <f t="shared" si="0"/>
        <v>45212</v>
      </c>
      <c r="E21" s="61"/>
      <c r="F21" s="61"/>
      <c r="G21" s="61"/>
      <c r="H21" s="61"/>
      <c r="I21" s="62"/>
      <c r="J21" s="60" t="str">
        <f>_xlfn.XLOOKUP(Oct[[#This Row],[Date]],Obs_day,Hol,"")</f>
        <v/>
      </c>
      <c r="L21" s="1">
        <v>45212</v>
      </c>
    </row>
    <row r="22" spans="1:12" x14ac:dyDescent="0.25">
      <c r="A22" s="17" t="str">
        <f>IF(Oct[[#This Row],[Date]]="","",UPPER(TEXT(Oct[[#This Row],[Date]],"DDD")))</f>
        <v>SAT</v>
      </c>
      <c r="B22" s="5">
        <f>IF(Oct[[#This Row],[Date]]="","",WEEKDAY(Oct[[#This Row],[Date]],11))</f>
        <v>6</v>
      </c>
      <c r="C22" s="5" t="str" cm="1">
        <f t="array" ref="C22">_xlfn.IFNA(_xlfn.XLOOKUP(Oct[[#This Row],[Date]],Obs_day,HN),"")</f>
        <v/>
      </c>
      <c r="D22" s="4">
        <f t="shared" si="0"/>
        <v>45213</v>
      </c>
      <c r="E22" s="61"/>
      <c r="F22" s="61"/>
      <c r="G22" s="61"/>
      <c r="H22" s="61"/>
      <c r="I22" s="62"/>
      <c r="J22" s="60" t="str">
        <f>_xlfn.XLOOKUP(Oct[[#This Row],[Date]],Obs_day,Hol,"")</f>
        <v/>
      </c>
      <c r="L22" s="1">
        <v>45213</v>
      </c>
    </row>
    <row r="23" spans="1:12" x14ac:dyDescent="0.25">
      <c r="A23" s="17" t="str">
        <f>IF(Oct[[#This Row],[Date]]="","",UPPER(TEXT(Oct[[#This Row],[Date]],"DDD")))</f>
        <v>SUN</v>
      </c>
      <c r="B23" s="5">
        <f>IF(Oct[[#This Row],[Date]]="","",WEEKDAY(Oct[[#This Row],[Date]],11))</f>
        <v>7</v>
      </c>
      <c r="C23" s="5" t="str" cm="1">
        <f t="array" ref="C23">_xlfn.IFNA(_xlfn.XLOOKUP(Oct[[#This Row],[Date]],Obs_day,HN),"")</f>
        <v/>
      </c>
      <c r="D23" s="4">
        <f t="shared" si="0"/>
        <v>45214</v>
      </c>
      <c r="E23" s="61"/>
      <c r="F23" s="61"/>
      <c r="G23" s="61"/>
      <c r="H23" s="61"/>
      <c r="I23" s="62"/>
      <c r="J23" s="60" t="str">
        <f>_xlfn.XLOOKUP(Oct[[#This Row],[Date]],Obs_day,Hol,"")</f>
        <v/>
      </c>
      <c r="L23" s="1">
        <v>45214</v>
      </c>
    </row>
    <row r="24" spans="1:12" x14ac:dyDescent="0.25">
      <c r="A24" s="17" t="str">
        <f>IF(Oct[[#This Row],[Date]]="","",UPPER(TEXT(Oct[[#This Row],[Date]],"DDD")))</f>
        <v>MON</v>
      </c>
      <c r="B24" s="5">
        <f>IF(Oct[[#This Row],[Date]]="","",WEEKDAY(Oct[[#This Row],[Date]],11))</f>
        <v>1</v>
      </c>
      <c r="C24" s="5" t="str" cm="1">
        <f t="array" ref="C24">_xlfn.IFNA(_xlfn.XLOOKUP(Oct[[#This Row],[Date]],Obs_day,HN),"")</f>
        <v/>
      </c>
      <c r="D24" s="4">
        <f t="shared" si="0"/>
        <v>45215</v>
      </c>
      <c r="E24" s="61"/>
      <c r="F24" s="61"/>
      <c r="G24" s="61"/>
      <c r="H24" s="61"/>
      <c r="I24" s="62"/>
      <c r="J24" s="60" t="str">
        <f>_xlfn.XLOOKUP(Oct[[#This Row],[Date]],Obs_day,Hol,"")</f>
        <v/>
      </c>
      <c r="L24" s="1">
        <v>45215</v>
      </c>
    </row>
    <row r="25" spans="1:12" x14ac:dyDescent="0.25">
      <c r="A25" s="17" t="str">
        <f>IF(Oct[[#This Row],[Date]]="","",UPPER(TEXT(Oct[[#This Row],[Date]],"DDD")))</f>
        <v>TUE</v>
      </c>
      <c r="B25" s="5">
        <f>IF(Oct[[#This Row],[Date]]="","",WEEKDAY(Oct[[#This Row],[Date]],11))</f>
        <v>2</v>
      </c>
      <c r="C25" s="5" t="str" cm="1">
        <f t="array" ref="C25">_xlfn.IFNA(_xlfn.XLOOKUP(Oct[[#This Row],[Date]],Obs_day,HN),"")</f>
        <v/>
      </c>
      <c r="D25" s="4">
        <f t="shared" si="0"/>
        <v>45216</v>
      </c>
      <c r="E25" s="61"/>
      <c r="F25" s="61"/>
      <c r="G25" s="61"/>
      <c r="H25" s="61"/>
      <c r="I25" s="62"/>
      <c r="J25" s="60" t="str">
        <f>_xlfn.XLOOKUP(Oct[[#This Row],[Date]],Obs_day,Hol,"")</f>
        <v/>
      </c>
      <c r="L25" s="1">
        <v>45216</v>
      </c>
    </row>
    <row r="26" spans="1:12" x14ac:dyDescent="0.25">
      <c r="A26" s="17" t="str">
        <f>IF(Oct[[#This Row],[Date]]="","",UPPER(TEXT(Oct[[#This Row],[Date]],"DDD")))</f>
        <v>WED</v>
      </c>
      <c r="B26" s="5">
        <f>IF(Oct[[#This Row],[Date]]="","",WEEKDAY(Oct[[#This Row],[Date]],11))</f>
        <v>3</v>
      </c>
      <c r="C26" s="5" t="str" cm="1">
        <f t="array" ref="C26">_xlfn.IFNA(_xlfn.XLOOKUP(Oct[[#This Row],[Date]],Obs_day,HN),"")</f>
        <v/>
      </c>
      <c r="D26" s="4">
        <f t="shared" si="0"/>
        <v>45217</v>
      </c>
      <c r="E26" s="61"/>
      <c r="F26" s="61"/>
      <c r="G26" s="61"/>
      <c r="H26" s="61"/>
      <c r="I26" s="62"/>
      <c r="J26" s="60" t="str">
        <f>_xlfn.XLOOKUP(Oct[[#This Row],[Date]],Obs_day,Hol,"")</f>
        <v/>
      </c>
      <c r="L26" s="1">
        <v>45217</v>
      </c>
    </row>
    <row r="27" spans="1:12" x14ac:dyDescent="0.25">
      <c r="A27" s="17" t="str">
        <f>IF(Oct[[#This Row],[Date]]="","",UPPER(TEXT(Oct[[#This Row],[Date]],"DDD")))</f>
        <v>THU</v>
      </c>
      <c r="B27" s="5">
        <f>IF(Oct[[#This Row],[Date]]="","",WEEKDAY(Oct[[#This Row],[Date]],11))</f>
        <v>4</v>
      </c>
      <c r="C27" s="5" t="str" cm="1">
        <f t="array" ref="C27">_xlfn.IFNA(_xlfn.XLOOKUP(Oct[[#This Row],[Date]],Obs_day,HN),"")</f>
        <v/>
      </c>
      <c r="D27" s="4">
        <f t="shared" si="0"/>
        <v>45218</v>
      </c>
      <c r="E27" s="61"/>
      <c r="F27" s="61"/>
      <c r="G27" s="61"/>
      <c r="H27" s="61"/>
      <c r="I27" s="62"/>
      <c r="J27" s="60" t="str">
        <f>_xlfn.XLOOKUP(Oct[[#This Row],[Date]],Obs_day,Hol,"")</f>
        <v/>
      </c>
      <c r="L27" s="1">
        <v>45218</v>
      </c>
    </row>
    <row r="28" spans="1:12" x14ac:dyDescent="0.25">
      <c r="A28" s="17" t="str">
        <f>IF(Oct[[#This Row],[Date]]="","",UPPER(TEXT(Oct[[#This Row],[Date]],"DDD")))</f>
        <v>FRI</v>
      </c>
      <c r="B28" s="5">
        <f>IF(Oct[[#This Row],[Date]]="","",WEEKDAY(Oct[[#This Row],[Date]],11))</f>
        <v>5</v>
      </c>
      <c r="C28" s="5" t="str" cm="1">
        <f t="array" ref="C28">_xlfn.IFNA(_xlfn.XLOOKUP(Oct[[#This Row],[Date]],Obs_day,HN),"")</f>
        <v/>
      </c>
      <c r="D28" s="4">
        <f t="shared" si="0"/>
        <v>45219</v>
      </c>
      <c r="E28" s="61"/>
      <c r="F28" s="61"/>
      <c r="G28" s="61"/>
      <c r="H28" s="61"/>
      <c r="I28" s="62"/>
      <c r="J28" s="60" t="str">
        <f>_xlfn.XLOOKUP(Oct[[#This Row],[Date]],Obs_day,Hol,"")</f>
        <v/>
      </c>
      <c r="L28" s="1">
        <v>45219</v>
      </c>
    </row>
    <row r="29" spans="1:12" x14ac:dyDescent="0.25">
      <c r="A29" s="17" t="str">
        <f>IF(Oct[[#This Row],[Date]]="","",UPPER(TEXT(Oct[[#This Row],[Date]],"DDD")))</f>
        <v>SAT</v>
      </c>
      <c r="B29" s="5">
        <f>IF(Oct[[#This Row],[Date]]="","",WEEKDAY(Oct[[#This Row],[Date]],11))</f>
        <v>6</v>
      </c>
      <c r="C29" s="5" t="str" cm="1">
        <f t="array" ref="C29">_xlfn.IFNA(_xlfn.XLOOKUP(Oct[[#This Row],[Date]],Obs_day,HN),"")</f>
        <v/>
      </c>
      <c r="D29" s="4">
        <f t="shared" si="0"/>
        <v>45220</v>
      </c>
      <c r="E29" s="61"/>
      <c r="F29" s="61"/>
      <c r="G29" s="61"/>
      <c r="H29" s="61"/>
      <c r="I29" s="62"/>
      <c r="J29" s="60" t="str">
        <f>_xlfn.XLOOKUP(Oct[[#This Row],[Date]],Obs_day,Hol,"")</f>
        <v/>
      </c>
      <c r="L29" s="1">
        <v>45220</v>
      </c>
    </row>
    <row r="30" spans="1:12" x14ac:dyDescent="0.25">
      <c r="A30" s="17" t="str">
        <f>IF(Oct[[#This Row],[Date]]="","",UPPER(TEXT(Oct[[#This Row],[Date]],"DDD")))</f>
        <v>SUN</v>
      </c>
      <c r="B30" s="5">
        <f>IF(Oct[[#This Row],[Date]]="","",WEEKDAY(Oct[[#This Row],[Date]],11))</f>
        <v>7</v>
      </c>
      <c r="C30" s="5" t="str" cm="1">
        <f t="array" ref="C30">_xlfn.IFNA(_xlfn.XLOOKUP(Oct[[#This Row],[Date]],Obs_day,HN),"")</f>
        <v/>
      </c>
      <c r="D30" s="4">
        <f t="shared" si="0"/>
        <v>45221</v>
      </c>
      <c r="E30" s="61"/>
      <c r="F30" s="61"/>
      <c r="G30" s="61"/>
      <c r="H30" s="61"/>
      <c r="I30" s="62"/>
      <c r="J30" s="60" t="str">
        <f>_xlfn.XLOOKUP(Oct[[#This Row],[Date]],Obs_day,Hol,"")</f>
        <v/>
      </c>
      <c r="L30" s="1">
        <v>45221</v>
      </c>
    </row>
    <row r="31" spans="1:12" x14ac:dyDescent="0.25">
      <c r="A31" s="17" t="str">
        <f>IF(Oct[[#This Row],[Date]]="","",UPPER(TEXT(Oct[[#This Row],[Date]],"DDD")))</f>
        <v>MON</v>
      </c>
      <c r="B31" s="5">
        <f>IF(Oct[[#This Row],[Date]]="","",WEEKDAY(Oct[[#This Row],[Date]],11))</f>
        <v>1</v>
      </c>
      <c r="C31" s="5" t="str" cm="1">
        <f t="array" ref="C31">_xlfn.IFNA(_xlfn.XLOOKUP(Oct[[#This Row],[Date]],Obs_day,HN),"")</f>
        <v/>
      </c>
      <c r="D31" s="4">
        <f t="shared" si="0"/>
        <v>45222</v>
      </c>
      <c r="E31" s="61"/>
      <c r="F31" s="61"/>
      <c r="G31" s="61"/>
      <c r="H31" s="61"/>
      <c r="I31" s="62"/>
      <c r="J31" s="60" t="str">
        <f>_xlfn.XLOOKUP(Oct[[#This Row],[Date]],Obs_day,Hol,"")</f>
        <v/>
      </c>
      <c r="L31" s="1">
        <v>45222</v>
      </c>
    </row>
    <row r="32" spans="1:12" x14ac:dyDescent="0.25">
      <c r="A32" s="17" t="str">
        <f>IF(Oct[[#This Row],[Date]]="","",UPPER(TEXT(Oct[[#This Row],[Date]],"DDD")))</f>
        <v>TUE</v>
      </c>
      <c r="B32" s="5">
        <f>IF(Oct[[#This Row],[Date]]="","",WEEKDAY(Oct[[#This Row],[Date]],11))</f>
        <v>2</v>
      </c>
      <c r="C32" s="5" t="str" cm="1">
        <f t="array" ref="C32">_xlfn.IFNA(_xlfn.XLOOKUP(Oct[[#This Row],[Date]],Obs_day,HN),"")</f>
        <v/>
      </c>
      <c r="D32" s="4">
        <f t="shared" si="0"/>
        <v>45223</v>
      </c>
      <c r="E32" s="61"/>
      <c r="F32" s="61"/>
      <c r="G32" s="61"/>
      <c r="H32" s="61"/>
      <c r="I32" s="62"/>
      <c r="J32" s="60" t="str">
        <f>_xlfn.XLOOKUP(Oct[[#This Row],[Date]],Obs_day,Hol,"")</f>
        <v/>
      </c>
      <c r="L32" s="1">
        <v>45223</v>
      </c>
    </row>
    <row r="33" spans="1:12" x14ac:dyDescent="0.25">
      <c r="A33" s="17" t="str">
        <f>IF(Oct[[#This Row],[Date]]="","",UPPER(TEXT(Oct[[#This Row],[Date]],"DDD")))</f>
        <v>WED</v>
      </c>
      <c r="B33" s="5">
        <f>IF(Oct[[#This Row],[Date]]="","",WEEKDAY(Oct[[#This Row],[Date]],11))</f>
        <v>3</v>
      </c>
      <c r="C33" s="5" t="str" cm="1">
        <f t="array" ref="C33">_xlfn.IFNA(_xlfn.XLOOKUP(Oct[[#This Row],[Date]],Obs_day,HN),"")</f>
        <v/>
      </c>
      <c r="D33" s="4">
        <f t="shared" si="0"/>
        <v>45224</v>
      </c>
      <c r="E33" s="61"/>
      <c r="F33" s="61"/>
      <c r="G33" s="61"/>
      <c r="H33" s="61"/>
      <c r="I33" s="62"/>
      <c r="J33" s="60" t="str">
        <f>_xlfn.XLOOKUP(Oct[[#This Row],[Date]],Obs_day,Hol,"")</f>
        <v/>
      </c>
      <c r="L33" s="1">
        <v>45224</v>
      </c>
    </row>
    <row r="34" spans="1:12" x14ac:dyDescent="0.25">
      <c r="A34" s="17" t="str">
        <f>IF(Oct[[#This Row],[Date]]="","",UPPER(TEXT(Oct[[#This Row],[Date]],"DDD")))</f>
        <v>THU</v>
      </c>
      <c r="B34" s="5">
        <f>IF(Oct[[#This Row],[Date]]="","",WEEKDAY(Oct[[#This Row],[Date]],11))</f>
        <v>4</v>
      </c>
      <c r="C34" s="5" t="str" cm="1">
        <f t="array" ref="C34">_xlfn.IFNA(_xlfn.XLOOKUP(Oct[[#This Row],[Date]],Obs_day,HN),"")</f>
        <v/>
      </c>
      <c r="D34" s="4">
        <f t="shared" si="0"/>
        <v>45225</v>
      </c>
      <c r="E34" s="61"/>
      <c r="F34" s="61"/>
      <c r="G34" s="61"/>
      <c r="H34" s="61"/>
      <c r="I34" s="62"/>
      <c r="J34" s="60" t="str">
        <f>_xlfn.XLOOKUP(Oct[[#This Row],[Date]],Obs_day,Hol,"")</f>
        <v/>
      </c>
      <c r="L34" s="1">
        <v>45225</v>
      </c>
    </row>
    <row r="35" spans="1:12" x14ac:dyDescent="0.25">
      <c r="A35" s="17" t="str">
        <f>IF(Oct[[#This Row],[Date]]="","",UPPER(TEXT(Oct[[#This Row],[Date]],"DDD")))</f>
        <v>FRI</v>
      </c>
      <c r="B35" s="5">
        <f>IF(Oct[[#This Row],[Date]]="","",WEEKDAY(Oct[[#This Row],[Date]],11))</f>
        <v>5</v>
      </c>
      <c r="C35" s="5" t="str" cm="1">
        <f t="array" ref="C35">_xlfn.IFNA(_xlfn.XLOOKUP(Oct[[#This Row],[Date]],Obs_day,HN),"")</f>
        <v/>
      </c>
      <c r="D35" s="4">
        <f t="shared" si="0"/>
        <v>45226</v>
      </c>
      <c r="E35" s="61"/>
      <c r="F35" s="61"/>
      <c r="G35" s="61"/>
      <c r="H35" s="61"/>
      <c r="I35" s="62"/>
      <c r="J35" s="60" t="str">
        <f>_xlfn.XLOOKUP(Oct[[#This Row],[Date]],Obs_day,Hol,"")</f>
        <v/>
      </c>
      <c r="L35" s="1">
        <v>45226</v>
      </c>
    </row>
    <row r="36" spans="1:12" x14ac:dyDescent="0.25">
      <c r="A36" s="17" t="str">
        <f>IF(Oct[[#This Row],[Date]]="","",UPPER(TEXT(Oct[[#This Row],[Date]],"DDD")))</f>
        <v>SAT</v>
      </c>
      <c r="B36" s="5">
        <f>IF(Oct[[#This Row],[Date]]="","",WEEKDAY(Oct[[#This Row],[Date]],11))</f>
        <v>6</v>
      </c>
      <c r="C36" s="5" t="str" cm="1">
        <f t="array" ref="C36">_xlfn.IFNA(_xlfn.XLOOKUP(Oct[[#This Row],[Date]],Obs_day,HN),"")</f>
        <v/>
      </c>
      <c r="D36" s="4">
        <f t="shared" si="0"/>
        <v>45227</v>
      </c>
      <c r="E36" s="61"/>
      <c r="F36" s="61"/>
      <c r="G36" s="61"/>
      <c r="H36" s="61"/>
      <c r="I36" s="62"/>
      <c r="J36" s="60" t="str">
        <f>_xlfn.XLOOKUP(Oct[[#This Row],[Date]],Obs_day,Hol,"")</f>
        <v/>
      </c>
      <c r="L36" s="1">
        <v>45227</v>
      </c>
    </row>
    <row r="37" spans="1:12" x14ac:dyDescent="0.25">
      <c r="A37" s="17" t="str">
        <f>IF(Oct[[#This Row],[Date]]="","",UPPER(TEXT(Oct[[#This Row],[Date]],"DDD")))</f>
        <v>SUN</v>
      </c>
      <c r="B37" s="5">
        <f>IF(Oct[[#This Row],[Date]]="","",WEEKDAY(Oct[[#This Row],[Date]],11))</f>
        <v>7</v>
      </c>
      <c r="C37" s="5" t="str" cm="1">
        <f t="array" ref="C37">_xlfn.IFNA(_xlfn.XLOOKUP(Oct[[#This Row],[Date]],Obs_day,HN),"")</f>
        <v/>
      </c>
      <c r="D37" s="4">
        <f t="shared" si="0"/>
        <v>45228</v>
      </c>
      <c r="E37" s="61"/>
      <c r="F37" s="61"/>
      <c r="G37" s="61"/>
      <c r="H37" s="61"/>
      <c r="I37" s="62"/>
      <c r="J37" s="60" t="str">
        <f>_xlfn.XLOOKUP(Oct[[#This Row],[Date]],Obs_day,Hol,"")</f>
        <v/>
      </c>
      <c r="L37" s="1">
        <v>45228</v>
      </c>
    </row>
    <row r="38" spans="1:12" x14ac:dyDescent="0.25">
      <c r="A38" s="17" t="str">
        <f>IF(Oct[[#This Row],[Date]]="","",UPPER(TEXT(Oct[[#This Row],[Date]],"DDD")))</f>
        <v>MON</v>
      </c>
      <c r="B38" s="5">
        <f>IF(Oct[[#This Row],[Date]]="","",WEEKDAY(Oct[[#This Row],[Date]],11))</f>
        <v>1</v>
      </c>
      <c r="C38" s="5" t="str" cm="1">
        <f t="array" ref="C38">_xlfn.IFNA(_xlfn.XLOOKUP(Oct[[#This Row],[Date]],Obs_day,HN),"")</f>
        <v/>
      </c>
      <c r="D38" s="4">
        <f t="shared" si="0"/>
        <v>45229</v>
      </c>
      <c r="E38" s="61"/>
      <c r="F38" s="61"/>
      <c r="G38" s="61"/>
      <c r="H38" s="61"/>
      <c r="I38" s="62"/>
      <c r="J38" s="60" t="str">
        <f>_xlfn.XLOOKUP(Oct[[#This Row],[Date]],Obs_day,Hol,"")</f>
        <v/>
      </c>
      <c r="L38" s="1">
        <v>45229</v>
      </c>
    </row>
    <row r="39" spans="1:12" x14ac:dyDescent="0.25">
      <c r="A39" s="17" t="str">
        <f>IF(Oct[[#This Row],[Date]]="","",UPPER(TEXT(Oct[[#This Row],[Date]],"DDD")))</f>
        <v>TUE</v>
      </c>
      <c r="B39" s="6">
        <f>IF(Oct[[#This Row],[Date]]="","",WEEKDAY(Oct[[#This Row],[Date]],11))</f>
        <v>2</v>
      </c>
      <c r="C39" s="6" t="str" cm="1">
        <f t="array" ref="C39">_xlfn.IFNA(_xlfn.XLOOKUP(Oct[[#This Row],[Date]],Obs_day,HN),"")</f>
        <v/>
      </c>
      <c r="D39" s="4">
        <f t="shared" si="0"/>
        <v>45230</v>
      </c>
      <c r="E39" s="61"/>
      <c r="F39" s="61"/>
      <c r="G39" s="61"/>
      <c r="H39" s="61"/>
      <c r="I39" s="62"/>
      <c r="J39" s="63" t="str">
        <f>_xlfn.XLOOKUP(Oct[[#This Row],[Date]],Obs_day,Hol,"")</f>
        <v/>
      </c>
      <c r="L39" s="1">
        <v>45230</v>
      </c>
    </row>
    <row r="40" spans="1:12" x14ac:dyDescent="0.25">
      <c r="A40" s="30"/>
      <c r="B40" s="31"/>
      <c r="C40" s="31"/>
      <c r="D40" s="32"/>
      <c r="E40" s="34">
        <f>SUBTOTAL(109,Oct[Vacation
Hours])</f>
        <v>0</v>
      </c>
      <c r="F40" s="34">
        <f>SUBTOTAL(109,Oct[Sick
Hours])</f>
        <v>0</v>
      </c>
      <c r="G40" s="34">
        <f>SUBTOTAL(109,Oct[Float.
Hours])</f>
        <v>0</v>
      </c>
      <c r="H40" s="34">
        <f>SUBTOTAL(109,Oct[Other
Hours])</f>
        <v>0</v>
      </c>
      <c r="I40" s="28"/>
      <c r="J40" s="29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38</v>
      </c>
      <c r="B44" s="7"/>
      <c r="C44" s="7"/>
      <c r="D44" s="7"/>
      <c r="E44" s="7"/>
      <c r="F44" s="7"/>
      <c r="G44" s="7" t="s">
        <v>7</v>
      </c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ht="15.75" thickBot="1" x14ac:dyDescent="0.3">
      <c r="A46" s="66"/>
      <c r="B46" s="66"/>
      <c r="C46" s="66"/>
      <c r="D46" s="66"/>
      <c r="E46" s="66"/>
      <c r="F46" s="66"/>
      <c r="G46" s="66"/>
      <c r="H46" s="65"/>
      <c r="I46" s="65"/>
      <c r="J46" s="65"/>
    </row>
    <row r="47" spans="1:12" x14ac:dyDescent="0.25">
      <c r="A47" s="7" t="s">
        <v>39</v>
      </c>
      <c r="G47" s="7" t="s">
        <v>7</v>
      </c>
    </row>
  </sheetData>
  <sheetProtection algorithmName="SHA-512" hashValue="0mApMgTV84Jm93wd3J57PwZ4cN367JobD2j41aoO+ChpkELP1ERPgozoGbFRcei+NSnIK8HFGEm9uYBrjvoxEw==" saltValue="UjpD+FEzONu+ICvuRLInTg==" spinCount="100000" sheet="1" objects="1" scenarios="1"/>
  <mergeCells count="2">
    <mergeCell ref="D5:F5"/>
    <mergeCell ref="D6:F6"/>
  </mergeCells>
  <conditionalFormatting sqref="E9:J39">
    <cfRule type="expression" dxfId="107" priority="1">
      <formula>$C9=1</formula>
    </cfRule>
    <cfRule type="expression" dxfId="106" priority="2">
      <formula>$B9&gt;5</formula>
    </cfRule>
  </conditionalFormatting>
  <dataValidations count="2">
    <dataValidation type="list" allowBlank="1" showInputMessage="1" showErrorMessage="1" sqref="I9:I39" xr:uid="{2C00505F-BFF1-4152-9F4E-3B44DE124ED9}">
      <formula1>Codes_for_Other</formula1>
    </dataValidation>
    <dataValidation allowBlank="1" showInputMessage="1" showErrorMessage="1" promptTitle="Personal Information Update" prompt="Enter your Name, ID, and Location in the Jan sheet." sqref="D5:F5" xr:uid="{12A17F29-BE37-48AD-902F-C7866CC8C912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081D-B763-44D5-AB27-B2B7146092CC}">
  <sheetPr>
    <pageSetUpPr fitToPage="1"/>
  </sheetPr>
  <dimension ref="A1:N46"/>
  <sheetViews>
    <sheetView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EOMONTH(Jan!J4,9)+1</f>
        <v>45231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COUNT(Nov[Date])</f>
        <v>30</v>
      </c>
    </row>
    <row r="7" spans="1:14" x14ac:dyDescent="0.25">
      <c r="L7">
        <f>_xlfn.DAYS(EOMONTH(J4,0)+1,J4)</f>
        <v>30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Nov Date</v>
      </c>
    </row>
    <row r="9" spans="1:14" ht="15.75" thickTop="1" x14ac:dyDescent="0.25">
      <c r="A9" s="18" t="str">
        <f>IF(Nov[[#This Row],[Date]]="","",UPPER(TEXT(Nov[[#This Row],[Date]],"DDD")))</f>
        <v>WED</v>
      </c>
      <c r="B9" s="5">
        <f>IF(Nov[[#This Row],[Date]]="","",WEEKDAY(Nov[[#This Row],[Date]],11))</f>
        <v>3</v>
      </c>
      <c r="C9" s="5" t="str" cm="1">
        <f t="array" ref="C9">_xlfn.IFNA(_xlfn.XLOOKUP(Nov[[#This Row],[Date]],Obs_day,HN),"")</f>
        <v/>
      </c>
      <c r="D9" s="3">
        <f>IF(L9&gt;0,L9,"")</f>
        <v>45231</v>
      </c>
      <c r="E9" s="58"/>
      <c r="F9" s="58"/>
      <c r="G9" s="58"/>
      <c r="H9" s="58"/>
      <c r="I9" s="59"/>
      <c r="J9" s="60" t="str">
        <f>_xlfn.XLOOKUP(Nov[[#This Row],[Date]],Obs_day,Hol,"")</f>
        <v/>
      </c>
      <c r="L9" s="1" cm="1">
        <f t="array" ref="L9:L38">_xlfn.SEQUENCE(L7,1,J4,1)</f>
        <v>45231</v>
      </c>
      <c r="N9" s="41"/>
    </row>
    <row r="10" spans="1:14" x14ac:dyDescent="0.25">
      <c r="A10" s="17" t="str">
        <f>IF(Nov[[#This Row],[Date]]="","",UPPER(TEXT(Nov[[#This Row],[Date]],"DDD")))</f>
        <v>THU</v>
      </c>
      <c r="B10" s="5">
        <f>IF(Nov[[#This Row],[Date]]="","",WEEKDAY(Nov[[#This Row],[Date]],11))</f>
        <v>4</v>
      </c>
      <c r="C10" s="5" t="str" cm="1">
        <f t="array" ref="C10">_xlfn.IFNA(_xlfn.XLOOKUP(Nov[[#This Row],[Date]],Obs_day,HN),"")</f>
        <v/>
      </c>
      <c r="D10" s="4">
        <f t="shared" ref="D10:D38" si="0">IF(L10&gt;0,L10,"")</f>
        <v>45232</v>
      </c>
      <c r="E10" s="61"/>
      <c r="F10" s="61"/>
      <c r="G10" s="61"/>
      <c r="H10" s="61"/>
      <c r="I10" s="62"/>
      <c r="J10" s="60" t="str">
        <f>_xlfn.XLOOKUP(Nov[[#This Row],[Date]],Obs_day,Hol,"")</f>
        <v/>
      </c>
      <c r="L10" s="1">
        <v>45232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IF(Nov[[#This Row],[Date]]="","",UPPER(TEXT(Nov[[#This Row],[Date]],"DDD")))</f>
        <v>FRI</v>
      </c>
      <c r="B11" s="5">
        <f>IF(Nov[[#This Row],[Date]]="","",WEEKDAY(Nov[[#This Row],[Date]],11))</f>
        <v>5</v>
      </c>
      <c r="C11" s="5" t="str" cm="1">
        <f t="array" ref="C11">_xlfn.IFNA(_xlfn.XLOOKUP(Nov[[#This Row],[Date]],Obs_day,HN),"")</f>
        <v/>
      </c>
      <c r="D11" s="4">
        <f t="shared" si="0"/>
        <v>45233</v>
      </c>
      <c r="E11" s="61"/>
      <c r="F11" s="61"/>
      <c r="G11" s="61"/>
      <c r="H11" s="61"/>
      <c r="I11" s="62"/>
      <c r="J11" s="60" t="str">
        <f>_xlfn.XLOOKUP(Nov[[#This Row],[Date]],Obs_day,Hol,"")</f>
        <v/>
      </c>
      <c r="L11" s="1">
        <v>45233</v>
      </c>
    </row>
    <row r="12" spans="1:14" x14ac:dyDescent="0.25">
      <c r="A12" s="17" t="str">
        <f>IF(Nov[[#This Row],[Date]]="","",UPPER(TEXT(Nov[[#This Row],[Date]],"DDD")))</f>
        <v>SAT</v>
      </c>
      <c r="B12" s="5">
        <f>IF(Nov[[#This Row],[Date]]="","",WEEKDAY(Nov[[#This Row],[Date]],11))</f>
        <v>6</v>
      </c>
      <c r="C12" s="5" t="str" cm="1">
        <f t="array" ref="C12">_xlfn.IFNA(_xlfn.XLOOKUP(Nov[[#This Row],[Date]],Obs_day,HN),"")</f>
        <v/>
      </c>
      <c r="D12" s="4">
        <f t="shared" si="0"/>
        <v>45234</v>
      </c>
      <c r="E12" s="61"/>
      <c r="F12" s="61"/>
      <c r="G12" s="61"/>
      <c r="H12" s="61"/>
      <c r="I12" s="62"/>
      <c r="J12" s="60" t="str">
        <f>_xlfn.XLOOKUP(Nov[[#This Row],[Date]],Obs_day,Hol,"")</f>
        <v/>
      </c>
      <c r="L12" s="1">
        <v>45234</v>
      </c>
    </row>
    <row r="13" spans="1:14" x14ac:dyDescent="0.25">
      <c r="A13" s="17" t="str">
        <f>IF(Nov[[#This Row],[Date]]="","",UPPER(TEXT(Nov[[#This Row],[Date]],"DDD")))</f>
        <v>SUN</v>
      </c>
      <c r="B13" s="5">
        <f>IF(Nov[[#This Row],[Date]]="","",WEEKDAY(Nov[[#This Row],[Date]],11))</f>
        <v>7</v>
      </c>
      <c r="C13" s="5" t="str" cm="1">
        <f t="array" ref="C13">_xlfn.IFNA(_xlfn.XLOOKUP(Nov[[#This Row],[Date]],Obs_day,HN),"")</f>
        <v/>
      </c>
      <c r="D13" s="4">
        <f t="shared" si="0"/>
        <v>45235</v>
      </c>
      <c r="E13" s="61"/>
      <c r="F13" s="61"/>
      <c r="G13" s="61"/>
      <c r="H13" s="61"/>
      <c r="I13" s="62"/>
      <c r="J13" s="60" t="str">
        <f>_xlfn.XLOOKUP(Nov[[#This Row],[Date]],Obs_day,Hol,"")</f>
        <v/>
      </c>
      <c r="L13" s="1">
        <v>45235</v>
      </c>
    </row>
    <row r="14" spans="1:14" x14ac:dyDescent="0.25">
      <c r="A14" s="17" t="str">
        <f>IF(Nov[[#This Row],[Date]]="","",UPPER(TEXT(Nov[[#This Row],[Date]],"DDD")))</f>
        <v>MON</v>
      </c>
      <c r="B14" s="5">
        <f>IF(Nov[[#This Row],[Date]]="","",WEEKDAY(Nov[[#This Row],[Date]],11))</f>
        <v>1</v>
      </c>
      <c r="C14" s="5" t="str" cm="1">
        <f t="array" ref="C14">_xlfn.IFNA(_xlfn.XLOOKUP(Nov[[#This Row],[Date]],Obs_day,HN),"")</f>
        <v/>
      </c>
      <c r="D14" s="4">
        <f t="shared" si="0"/>
        <v>45236</v>
      </c>
      <c r="E14" s="61"/>
      <c r="F14" s="61"/>
      <c r="G14" s="61"/>
      <c r="H14" s="61"/>
      <c r="I14" s="62"/>
      <c r="J14" s="60" t="str">
        <f>_xlfn.XLOOKUP(Nov[[#This Row],[Date]],Obs_day,Hol,"")</f>
        <v/>
      </c>
      <c r="L14" s="1">
        <v>45236</v>
      </c>
    </row>
    <row r="15" spans="1:14" x14ac:dyDescent="0.25">
      <c r="A15" s="17" t="str">
        <f>IF(Nov[[#This Row],[Date]]="","",UPPER(TEXT(Nov[[#This Row],[Date]],"DDD")))</f>
        <v>TUE</v>
      </c>
      <c r="B15" s="5">
        <f>IF(Nov[[#This Row],[Date]]="","",WEEKDAY(Nov[[#This Row],[Date]],11))</f>
        <v>2</v>
      </c>
      <c r="C15" s="5" t="str" cm="1">
        <f t="array" ref="C15">_xlfn.IFNA(_xlfn.XLOOKUP(Nov[[#This Row],[Date]],Obs_day,HN),"")</f>
        <v/>
      </c>
      <c r="D15" s="4">
        <f t="shared" si="0"/>
        <v>45237</v>
      </c>
      <c r="E15" s="61"/>
      <c r="F15" s="61"/>
      <c r="G15" s="61"/>
      <c r="H15" s="61"/>
      <c r="I15" s="62"/>
      <c r="J15" s="60" t="str">
        <f>_xlfn.XLOOKUP(Nov[[#This Row],[Date]],Obs_day,Hol,"")</f>
        <v/>
      </c>
      <c r="L15" s="1">
        <v>45237</v>
      </c>
    </row>
    <row r="16" spans="1:14" x14ac:dyDescent="0.25">
      <c r="A16" s="17" t="str">
        <f>IF(Nov[[#This Row],[Date]]="","",UPPER(TEXT(Nov[[#This Row],[Date]],"DDD")))</f>
        <v>WED</v>
      </c>
      <c r="B16" s="5">
        <f>IF(Nov[[#This Row],[Date]]="","",WEEKDAY(Nov[[#This Row],[Date]],11))</f>
        <v>3</v>
      </c>
      <c r="C16" s="5" t="str" cm="1">
        <f t="array" ref="C16">_xlfn.IFNA(_xlfn.XLOOKUP(Nov[[#This Row],[Date]],Obs_day,HN),"")</f>
        <v/>
      </c>
      <c r="D16" s="4">
        <f t="shared" si="0"/>
        <v>45238</v>
      </c>
      <c r="E16" s="61"/>
      <c r="F16" s="61"/>
      <c r="G16" s="61"/>
      <c r="H16" s="61"/>
      <c r="I16" s="62"/>
      <c r="J16" s="60" t="str">
        <f>_xlfn.XLOOKUP(Nov[[#This Row],[Date]],Obs_day,Hol,"")</f>
        <v/>
      </c>
      <c r="L16" s="1">
        <v>45238</v>
      </c>
    </row>
    <row r="17" spans="1:12" x14ac:dyDescent="0.25">
      <c r="A17" s="17" t="str">
        <f>IF(Nov[[#This Row],[Date]]="","",UPPER(TEXT(Nov[[#This Row],[Date]],"DDD")))</f>
        <v>THU</v>
      </c>
      <c r="B17" s="5">
        <f>IF(Nov[[#This Row],[Date]]="","",WEEKDAY(Nov[[#This Row],[Date]],11))</f>
        <v>4</v>
      </c>
      <c r="C17" s="5" t="str" cm="1">
        <f t="array" ref="C17">_xlfn.IFNA(_xlfn.XLOOKUP(Nov[[#This Row],[Date]],Obs_day,HN),"")</f>
        <v/>
      </c>
      <c r="D17" s="4">
        <f t="shared" si="0"/>
        <v>45239</v>
      </c>
      <c r="E17" s="61"/>
      <c r="F17" s="61"/>
      <c r="G17" s="61"/>
      <c r="H17" s="61"/>
      <c r="I17" s="62"/>
      <c r="J17" s="60" t="str">
        <f>_xlfn.XLOOKUP(Nov[[#This Row],[Date]],Obs_day,Hol,"")</f>
        <v/>
      </c>
      <c r="L17" s="1">
        <v>45239</v>
      </c>
    </row>
    <row r="18" spans="1:12" x14ac:dyDescent="0.25">
      <c r="A18" s="17" t="str">
        <f>IF(Nov[[#This Row],[Date]]="","",UPPER(TEXT(Nov[[#This Row],[Date]],"DDD")))</f>
        <v>FRI</v>
      </c>
      <c r="B18" s="5">
        <f>IF(Nov[[#This Row],[Date]]="","",WEEKDAY(Nov[[#This Row],[Date]],11))</f>
        <v>5</v>
      </c>
      <c r="C18" s="5" cm="1">
        <f t="array" ref="C18">_xlfn.IFNA(_xlfn.XLOOKUP(Nov[[#This Row],[Date]],Obs_day,HN),"")</f>
        <v>1</v>
      </c>
      <c r="D18" s="4">
        <f t="shared" si="0"/>
        <v>45240</v>
      </c>
      <c r="E18" s="61"/>
      <c r="F18" s="61"/>
      <c r="G18" s="61"/>
      <c r="H18" s="61"/>
      <c r="I18" s="62"/>
      <c r="J18" s="64" t="str">
        <f>_xlfn.XLOOKUP(Nov[[#This Row],[Date]],Obs_day,Hol,"")</f>
        <v>Veterans' Day</v>
      </c>
      <c r="L18" s="1">
        <v>45240</v>
      </c>
    </row>
    <row r="19" spans="1:12" x14ac:dyDescent="0.25">
      <c r="A19" s="17" t="str">
        <f>IF(Nov[[#This Row],[Date]]="","",UPPER(TEXT(Nov[[#This Row],[Date]],"DDD")))</f>
        <v>SAT</v>
      </c>
      <c r="B19" s="5">
        <f>IF(Nov[[#This Row],[Date]]="","",WEEKDAY(Nov[[#This Row],[Date]],11))</f>
        <v>6</v>
      </c>
      <c r="C19" s="5" t="str" cm="1">
        <f t="array" ref="C19">_xlfn.IFNA(_xlfn.XLOOKUP(Nov[[#This Row],[Date]],Obs_day,HN),"")</f>
        <v/>
      </c>
      <c r="D19" s="4">
        <f t="shared" si="0"/>
        <v>45241</v>
      </c>
      <c r="E19" s="61"/>
      <c r="F19" s="61"/>
      <c r="G19" s="61"/>
      <c r="H19" s="61"/>
      <c r="I19" s="62"/>
      <c r="J19" s="60" t="str">
        <f>_xlfn.XLOOKUP(Nov[[#This Row],[Date]],Obs_day,Hol,"")</f>
        <v/>
      </c>
      <c r="L19" s="1">
        <v>45241</v>
      </c>
    </row>
    <row r="20" spans="1:12" x14ac:dyDescent="0.25">
      <c r="A20" s="17" t="str">
        <f>IF(Nov[[#This Row],[Date]]="","",UPPER(TEXT(Nov[[#This Row],[Date]],"DDD")))</f>
        <v>SUN</v>
      </c>
      <c r="B20" s="5">
        <f>IF(Nov[[#This Row],[Date]]="","",WEEKDAY(Nov[[#This Row],[Date]],11))</f>
        <v>7</v>
      </c>
      <c r="C20" s="5" t="str" cm="1">
        <f t="array" ref="C20">_xlfn.IFNA(_xlfn.XLOOKUP(Nov[[#This Row],[Date]],Obs_day,HN),"")</f>
        <v/>
      </c>
      <c r="D20" s="4">
        <f t="shared" si="0"/>
        <v>45242</v>
      </c>
      <c r="E20" s="61"/>
      <c r="F20" s="61"/>
      <c r="G20" s="61"/>
      <c r="H20" s="61"/>
      <c r="I20" s="62"/>
      <c r="J20" s="60" t="str">
        <f>_xlfn.XLOOKUP(Nov[[#This Row],[Date]],Obs_day,Hol,"")</f>
        <v/>
      </c>
      <c r="L20" s="1">
        <v>45242</v>
      </c>
    </row>
    <row r="21" spans="1:12" x14ac:dyDescent="0.25">
      <c r="A21" s="17" t="str">
        <f>IF(Nov[[#This Row],[Date]]="","",UPPER(TEXT(Nov[[#This Row],[Date]],"DDD")))</f>
        <v>MON</v>
      </c>
      <c r="B21" s="5">
        <f>IF(Nov[[#This Row],[Date]]="","",WEEKDAY(Nov[[#This Row],[Date]],11))</f>
        <v>1</v>
      </c>
      <c r="C21" s="5" t="str" cm="1">
        <f t="array" ref="C21">_xlfn.IFNA(_xlfn.XLOOKUP(Nov[[#This Row],[Date]],Obs_day,HN),"")</f>
        <v/>
      </c>
      <c r="D21" s="4">
        <f t="shared" si="0"/>
        <v>45243</v>
      </c>
      <c r="E21" s="61"/>
      <c r="F21" s="61"/>
      <c r="G21" s="61"/>
      <c r="H21" s="61"/>
      <c r="I21" s="62"/>
      <c r="J21" s="60" t="str">
        <f>_xlfn.XLOOKUP(Nov[[#This Row],[Date]],Obs_day,Hol,"")</f>
        <v/>
      </c>
      <c r="L21" s="1">
        <v>45243</v>
      </c>
    </row>
    <row r="22" spans="1:12" x14ac:dyDescent="0.25">
      <c r="A22" s="17" t="str">
        <f>IF(Nov[[#This Row],[Date]]="","",UPPER(TEXT(Nov[[#This Row],[Date]],"DDD")))</f>
        <v>TUE</v>
      </c>
      <c r="B22" s="5">
        <f>IF(Nov[[#This Row],[Date]]="","",WEEKDAY(Nov[[#This Row],[Date]],11))</f>
        <v>2</v>
      </c>
      <c r="C22" s="5" t="str" cm="1">
        <f t="array" ref="C22">_xlfn.IFNA(_xlfn.XLOOKUP(Nov[[#This Row],[Date]],Obs_day,HN),"")</f>
        <v/>
      </c>
      <c r="D22" s="4">
        <f t="shared" si="0"/>
        <v>45244</v>
      </c>
      <c r="E22" s="61"/>
      <c r="F22" s="61"/>
      <c r="G22" s="61"/>
      <c r="H22" s="61"/>
      <c r="I22" s="62"/>
      <c r="J22" s="60" t="str">
        <f>_xlfn.XLOOKUP(Nov[[#This Row],[Date]],Obs_day,Hol,"")</f>
        <v/>
      </c>
      <c r="L22" s="1">
        <v>45244</v>
      </c>
    </row>
    <row r="23" spans="1:12" x14ac:dyDescent="0.25">
      <c r="A23" s="17" t="str">
        <f>IF(Nov[[#This Row],[Date]]="","",UPPER(TEXT(Nov[[#This Row],[Date]],"DDD")))</f>
        <v>WED</v>
      </c>
      <c r="B23" s="5">
        <f>IF(Nov[[#This Row],[Date]]="","",WEEKDAY(Nov[[#This Row],[Date]],11))</f>
        <v>3</v>
      </c>
      <c r="C23" s="5" t="str" cm="1">
        <f t="array" ref="C23">_xlfn.IFNA(_xlfn.XLOOKUP(Nov[[#This Row],[Date]],Obs_day,HN),"")</f>
        <v/>
      </c>
      <c r="D23" s="4">
        <f t="shared" si="0"/>
        <v>45245</v>
      </c>
      <c r="E23" s="61"/>
      <c r="F23" s="61"/>
      <c r="G23" s="61"/>
      <c r="H23" s="61"/>
      <c r="I23" s="62"/>
      <c r="J23" s="60" t="str">
        <f>_xlfn.XLOOKUP(Nov[[#This Row],[Date]],Obs_day,Hol,"")</f>
        <v/>
      </c>
      <c r="L23" s="1">
        <v>45245</v>
      </c>
    </row>
    <row r="24" spans="1:12" x14ac:dyDescent="0.25">
      <c r="A24" s="17" t="str">
        <f>IF(Nov[[#This Row],[Date]]="","",UPPER(TEXT(Nov[[#This Row],[Date]],"DDD")))</f>
        <v>THU</v>
      </c>
      <c r="B24" s="5">
        <f>IF(Nov[[#This Row],[Date]]="","",WEEKDAY(Nov[[#This Row],[Date]],11))</f>
        <v>4</v>
      </c>
      <c r="C24" s="5" t="str" cm="1">
        <f t="array" ref="C24">_xlfn.IFNA(_xlfn.XLOOKUP(Nov[[#This Row],[Date]],Obs_day,HN),"")</f>
        <v/>
      </c>
      <c r="D24" s="4">
        <f t="shared" si="0"/>
        <v>45246</v>
      </c>
      <c r="E24" s="61"/>
      <c r="F24" s="61"/>
      <c r="G24" s="61"/>
      <c r="H24" s="61"/>
      <c r="I24" s="62"/>
      <c r="J24" s="60" t="str">
        <f>_xlfn.XLOOKUP(Nov[[#This Row],[Date]],Obs_day,Hol,"")</f>
        <v/>
      </c>
      <c r="L24" s="1">
        <v>45246</v>
      </c>
    </row>
    <row r="25" spans="1:12" x14ac:dyDescent="0.25">
      <c r="A25" s="17" t="str">
        <f>IF(Nov[[#This Row],[Date]]="","",UPPER(TEXT(Nov[[#This Row],[Date]],"DDD")))</f>
        <v>FRI</v>
      </c>
      <c r="B25" s="5">
        <f>IF(Nov[[#This Row],[Date]]="","",WEEKDAY(Nov[[#This Row],[Date]],11))</f>
        <v>5</v>
      </c>
      <c r="C25" s="5" t="str" cm="1">
        <f t="array" ref="C25">_xlfn.IFNA(_xlfn.XLOOKUP(Nov[[#This Row],[Date]],Obs_day,HN),"")</f>
        <v/>
      </c>
      <c r="D25" s="4">
        <f t="shared" si="0"/>
        <v>45247</v>
      </c>
      <c r="E25" s="61"/>
      <c r="F25" s="61"/>
      <c r="G25" s="61"/>
      <c r="H25" s="61"/>
      <c r="I25" s="62"/>
      <c r="J25" s="60" t="str">
        <f>_xlfn.XLOOKUP(Nov[[#This Row],[Date]],Obs_day,Hol,"")</f>
        <v/>
      </c>
      <c r="L25" s="1">
        <v>45247</v>
      </c>
    </row>
    <row r="26" spans="1:12" x14ac:dyDescent="0.25">
      <c r="A26" s="17" t="str">
        <f>IF(Nov[[#This Row],[Date]]="","",UPPER(TEXT(Nov[[#This Row],[Date]],"DDD")))</f>
        <v>SAT</v>
      </c>
      <c r="B26" s="5">
        <f>IF(Nov[[#This Row],[Date]]="","",WEEKDAY(Nov[[#This Row],[Date]],11))</f>
        <v>6</v>
      </c>
      <c r="C26" s="5" t="str" cm="1">
        <f t="array" ref="C26">_xlfn.IFNA(_xlfn.XLOOKUP(Nov[[#This Row],[Date]],Obs_day,HN),"")</f>
        <v/>
      </c>
      <c r="D26" s="4">
        <f t="shared" si="0"/>
        <v>45248</v>
      </c>
      <c r="E26" s="61"/>
      <c r="F26" s="61"/>
      <c r="G26" s="61"/>
      <c r="H26" s="61"/>
      <c r="I26" s="62"/>
      <c r="J26" s="60" t="str">
        <f>_xlfn.XLOOKUP(Nov[[#This Row],[Date]],Obs_day,Hol,"")</f>
        <v/>
      </c>
      <c r="L26" s="1">
        <v>45248</v>
      </c>
    </row>
    <row r="27" spans="1:12" x14ac:dyDescent="0.25">
      <c r="A27" s="17" t="str">
        <f>IF(Nov[[#This Row],[Date]]="","",UPPER(TEXT(Nov[[#This Row],[Date]],"DDD")))</f>
        <v>SUN</v>
      </c>
      <c r="B27" s="5">
        <f>IF(Nov[[#This Row],[Date]]="","",WEEKDAY(Nov[[#This Row],[Date]],11))</f>
        <v>7</v>
      </c>
      <c r="C27" s="5" t="str" cm="1">
        <f t="array" ref="C27">_xlfn.IFNA(_xlfn.XLOOKUP(Nov[[#This Row],[Date]],Obs_day,HN),"")</f>
        <v/>
      </c>
      <c r="D27" s="4">
        <f t="shared" si="0"/>
        <v>45249</v>
      </c>
      <c r="E27" s="61"/>
      <c r="F27" s="61"/>
      <c r="G27" s="61"/>
      <c r="H27" s="61"/>
      <c r="I27" s="62"/>
      <c r="J27" s="60" t="str">
        <f>_xlfn.XLOOKUP(Nov[[#This Row],[Date]],Obs_day,Hol,"")</f>
        <v/>
      </c>
      <c r="L27" s="1">
        <v>45249</v>
      </c>
    </row>
    <row r="28" spans="1:12" x14ac:dyDescent="0.25">
      <c r="A28" s="17" t="str">
        <f>IF(Nov[[#This Row],[Date]]="","",UPPER(TEXT(Nov[[#This Row],[Date]],"DDD")))</f>
        <v>MON</v>
      </c>
      <c r="B28" s="5">
        <f>IF(Nov[[#This Row],[Date]]="","",WEEKDAY(Nov[[#This Row],[Date]],11))</f>
        <v>1</v>
      </c>
      <c r="C28" s="5" t="str" cm="1">
        <f t="array" ref="C28">_xlfn.IFNA(_xlfn.XLOOKUP(Nov[[#This Row],[Date]],Obs_day,HN),"")</f>
        <v/>
      </c>
      <c r="D28" s="4">
        <f t="shared" si="0"/>
        <v>45250</v>
      </c>
      <c r="E28" s="61"/>
      <c r="F28" s="61"/>
      <c r="G28" s="61"/>
      <c r="H28" s="61"/>
      <c r="I28" s="62"/>
      <c r="J28" s="60" t="str">
        <f>_xlfn.XLOOKUP(Nov[[#This Row],[Date]],Obs_day,Hol,"")</f>
        <v/>
      </c>
      <c r="L28" s="1">
        <v>45250</v>
      </c>
    </row>
    <row r="29" spans="1:12" x14ac:dyDescent="0.25">
      <c r="A29" s="17" t="str">
        <f>IF(Nov[[#This Row],[Date]]="","",UPPER(TEXT(Nov[[#This Row],[Date]],"DDD")))</f>
        <v>TUE</v>
      </c>
      <c r="B29" s="5">
        <f>IF(Nov[[#This Row],[Date]]="","",WEEKDAY(Nov[[#This Row],[Date]],11))</f>
        <v>2</v>
      </c>
      <c r="C29" s="5" t="str" cm="1">
        <f t="array" ref="C29">_xlfn.IFNA(_xlfn.XLOOKUP(Nov[[#This Row],[Date]],Obs_day,HN),"")</f>
        <v/>
      </c>
      <c r="D29" s="4">
        <f t="shared" si="0"/>
        <v>45251</v>
      </c>
      <c r="E29" s="61"/>
      <c r="F29" s="61"/>
      <c r="G29" s="61"/>
      <c r="H29" s="61"/>
      <c r="I29" s="62"/>
      <c r="J29" s="60" t="str">
        <f>_xlfn.XLOOKUP(Nov[[#This Row],[Date]],Obs_day,Hol,"")</f>
        <v/>
      </c>
      <c r="L29" s="1">
        <v>45251</v>
      </c>
    </row>
    <row r="30" spans="1:12" x14ac:dyDescent="0.25">
      <c r="A30" s="17" t="str">
        <f>IF(Nov[[#This Row],[Date]]="","",UPPER(TEXT(Nov[[#This Row],[Date]],"DDD")))</f>
        <v>WED</v>
      </c>
      <c r="B30" s="5">
        <f>IF(Nov[[#This Row],[Date]]="","",WEEKDAY(Nov[[#This Row],[Date]],11))</f>
        <v>3</v>
      </c>
      <c r="C30" s="5" t="str" cm="1">
        <f t="array" ref="C30">_xlfn.IFNA(_xlfn.XLOOKUP(Nov[[#This Row],[Date]],Obs_day,HN),"")</f>
        <v/>
      </c>
      <c r="D30" s="4">
        <f t="shared" si="0"/>
        <v>45252</v>
      </c>
      <c r="E30" s="61"/>
      <c r="F30" s="61"/>
      <c r="G30" s="61"/>
      <c r="H30" s="61"/>
      <c r="I30" s="62"/>
      <c r="J30" s="60" t="str">
        <f>_xlfn.XLOOKUP(Nov[[#This Row],[Date]],Obs_day,Hol,"")</f>
        <v/>
      </c>
      <c r="L30" s="1">
        <v>45252</v>
      </c>
    </row>
    <row r="31" spans="1:12" x14ac:dyDescent="0.25">
      <c r="A31" s="17" t="str">
        <f>IF(Nov[[#This Row],[Date]]="","",UPPER(TEXT(Nov[[#This Row],[Date]],"DDD")))</f>
        <v>THU</v>
      </c>
      <c r="B31" s="5">
        <f>IF(Nov[[#This Row],[Date]]="","",WEEKDAY(Nov[[#This Row],[Date]],11))</f>
        <v>4</v>
      </c>
      <c r="C31" s="5" cm="1">
        <f t="array" ref="C31">_xlfn.IFNA(_xlfn.XLOOKUP(Nov[[#This Row],[Date]],Obs_day,HN),"")</f>
        <v>1</v>
      </c>
      <c r="D31" s="4">
        <f t="shared" si="0"/>
        <v>45253</v>
      </c>
      <c r="E31" s="61"/>
      <c r="F31" s="61"/>
      <c r="G31" s="61"/>
      <c r="H31" s="61"/>
      <c r="I31" s="62"/>
      <c r="J31" s="64" t="str">
        <f>_xlfn.XLOOKUP(Nov[[#This Row],[Date]],Obs_day,Hol,"")</f>
        <v>Thanksgiving Recess</v>
      </c>
      <c r="L31" s="1">
        <v>45253</v>
      </c>
    </row>
    <row r="32" spans="1:12" x14ac:dyDescent="0.25">
      <c r="A32" s="17" t="str">
        <f>IF(Nov[[#This Row],[Date]]="","",UPPER(TEXT(Nov[[#This Row],[Date]],"DDD")))</f>
        <v>FRI</v>
      </c>
      <c r="B32" s="5">
        <f>IF(Nov[[#This Row],[Date]]="","",WEEKDAY(Nov[[#This Row],[Date]],11))</f>
        <v>5</v>
      </c>
      <c r="C32" s="5" cm="1">
        <f t="array" ref="C32">_xlfn.IFNA(_xlfn.XLOOKUP(Nov[[#This Row],[Date]],Obs_day,HN),"")</f>
        <v>1</v>
      </c>
      <c r="D32" s="4">
        <f t="shared" si="0"/>
        <v>45254</v>
      </c>
      <c r="E32" s="61"/>
      <c r="F32" s="61"/>
      <c r="G32" s="61"/>
      <c r="H32" s="61"/>
      <c r="I32" s="62"/>
      <c r="J32" s="64" t="str">
        <f>_xlfn.XLOOKUP(Nov[[#This Row],[Date]],Obs_day,Hol,"")</f>
        <v>Thanksgiving Recess</v>
      </c>
      <c r="L32" s="1">
        <v>45254</v>
      </c>
    </row>
    <row r="33" spans="1:12" x14ac:dyDescent="0.25">
      <c r="A33" s="17" t="str">
        <f>IF(Nov[[#This Row],[Date]]="","",UPPER(TEXT(Nov[[#This Row],[Date]],"DDD")))</f>
        <v>SAT</v>
      </c>
      <c r="B33" s="5">
        <f>IF(Nov[[#This Row],[Date]]="","",WEEKDAY(Nov[[#This Row],[Date]],11))</f>
        <v>6</v>
      </c>
      <c r="C33" s="5" t="str" cm="1">
        <f t="array" ref="C33">_xlfn.IFNA(_xlfn.XLOOKUP(Nov[[#This Row],[Date]],Obs_day,HN),"")</f>
        <v/>
      </c>
      <c r="D33" s="4">
        <f t="shared" si="0"/>
        <v>45255</v>
      </c>
      <c r="E33" s="61"/>
      <c r="F33" s="61"/>
      <c r="G33" s="61"/>
      <c r="H33" s="61"/>
      <c r="I33" s="62"/>
      <c r="J33" s="60" t="str">
        <f>_xlfn.XLOOKUP(Nov[[#This Row],[Date]],Obs_day,Hol,"")</f>
        <v/>
      </c>
      <c r="L33" s="1">
        <v>45255</v>
      </c>
    </row>
    <row r="34" spans="1:12" x14ac:dyDescent="0.25">
      <c r="A34" s="17" t="str">
        <f>IF(Nov[[#This Row],[Date]]="","",UPPER(TEXT(Nov[[#This Row],[Date]],"DDD")))</f>
        <v>SUN</v>
      </c>
      <c r="B34" s="5">
        <f>IF(Nov[[#This Row],[Date]]="","",WEEKDAY(Nov[[#This Row],[Date]],11))</f>
        <v>7</v>
      </c>
      <c r="C34" s="5" t="str" cm="1">
        <f t="array" ref="C34">_xlfn.IFNA(_xlfn.XLOOKUP(Nov[[#This Row],[Date]],Obs_day,HN),"")</f>
        <v/>
      </c>
      <c r="D34" s="4">
        <f t="shared" si="0"/>
        <v>45256</v>
      </c>
      <c r="E34" s="61"/>
      <c r="F34" s="61"/>
      <c r="G34" s="61"/>
      <c r="H34" s="61"/>
      <c r="I34" s="62"/>
      <c r="J34" s="60" t="str">
        <f>_xlfn.XLOOKUP(Nov[[#This Row],[Date]],Obs_day,Hol,"")</f>
        <v/>
      </c>
      <c r="L34" s="1">
        <v>45256</v>
      </c>
    </row>
    <row r="35" spans="1:12" x14ac:dyDescent="0.25">
      <c r="A35" s="17" t="str">
        <f>IF(Nov[[#This Row],[Date]]="","",UPPER(TEXT(Nov[[#This Row],[Date]],"DDD")))</f>
        <v>MON</v>
      </c>
      <c r="B35" s="5">
        <f>IF(Nov[[#This Row],[Date]]="","",WEEKDAY(Nov[[#This Row],[Date]],11))</f>
        <v>1</v>
      </c>
      <c r="C35" s="5" t="str" cm="1">
        <f t="array" ref="C35">_xlfn.IFNA(_xlfn.XLOOKUP(Nov[[#This Row],[Date]],Obs_day,HN),"")</f>
        <v/>
      </c>
      <c r="D35" s="4">
        <f t="shared" si="0"/>
        <v>45257</v>
      </c>
      <c r="E35" s="61"/>
      <c r="F35" s="61"/>
      <c r="G35" s="61"/>
      <c r="H35" s="61"/>
      <c r="I35" s="62"/>
      <c r="J35" s="60" t="str">
        <f>_xlfn.XLOOKUP(Nov[[#This Row],[Date]],Obs_day,Hol,"")</f>
        <v/>
      </c>
      <c r="L35" s="1">
        <v>45257</v>
      </c>
    </row>
    <row r="36" spans="1:12" x14ac:dyDescent="0.25">
      <c r="A36" s="17" t="str">
        <f>IF(Nov[[#This Row],[Date]]="","",UPPER(TEXT(Nov[[#This Row],[Date]],"DDD")))</f>
        <v>TUE</v>
      </c>
      <c r="B36" s="5">
        <f>IF(Nov[[#This Row],[Date]]="","",WEEKDAY(Nov[[#This Row],[Date]],11))</f>
        <v>2</v>
      </c>
      <c r="C36" s="5" t="str" cm="1">
        <f t="array" ref="C36">_xlfn.IFNA(_xlfn.XLOOKUP(Nov[[#This Row],[Date]],Obs_day,HN),"")</f>
        <v/>
      </c>
      <c r="D36" s="4">
        <f t="shared" si="0"/>
        <v>45258</v>
      </c>
      <c r="E36" s="61"/>
      <c r="F36" s="61"/>
      <c r="G36" s="61"/>
      <c r="H36" s="61"/>
      <c r="I36" s="62"/>
      <c r="J36" s="60" t="str">
        <f>_xlfn.XLOOKUP(Nov[[#This Row],[Date]],Obs_day,Hol,"")</f>
        <v/>
      </c>
      <c r="L36" s="1">
        <v>45258</v>
      </c>
    </row>
    <row r="37" spans="1:12" x14ac:dyDescent="0.25">
      <c r="A37" s="17" t="str">
        <f>IF(Nov[[#This Row],[Date]]="","",UPPER(TEXT(Nov[[#This Row],[Date]],"DDD")))</f>
        <v>WED</v>
      </c>
      <c r="B37" s="5">
        <f>IF(Nov[[#This Row],[Date]]="","",WEEKDAY(Nov[[#This Row],[Date]],11))</f>
        <v>3</v>
      </c>
      <c r="C37" s="5" t="str" cm="1">
        <f t="array" ref="C37">_xlfn.IFNA(_xlfn.XLOOKUP(Nov[[#This Row],[Date]],Obs_day,HN),"")</f>
        <v/>
      </c>
      <c r="D37" s="4">
        <f t="shared" si="0"/>
        <v>45259</v>
      </c>
      <c r="E37" s="61"/>
      <c r="F37" s="61"/>
      <c r="G37" s="61"/>
      <c r="H37" s="61"/>
      <c r="I37" s="62"/>
      <c r="J37" s="60" t="str">
        <f>_xlfn.XLOOKUP(Nov[[#This Row],[Date]],Obs_day,Hol,"")</f>
        <v/>
      </c>
      <c r="L37" s="1">
        <v>45259</v>
      </c>
    </row>
    <row r="38" spans="1:12" x14ac:dyDescent="0.25">
      <c r="A38" s="17" t="str">
        <f>IF(Nov[[#This Row],[Date]]="","",UPPER(TEXT(Nov[[#This Row],[Date]],"DDD")))</f>
        <v>THU</v>
      </c>
      <c r="B38" s="5">
        <f>IF(Nov[[#This Row],[Date]]="","",WEEKDAY(Nov[[#This Row],[Date]],11))</f>
        <v>4</v>
      </c>
      <c r="C38" s="5" t="str" cm="1">
        <f t="array" ref="C38">_xlfn.IFNA(_xlfn.XLOOKUP(Nov[[#This Row],[Date]],Obs_day,HN),"")</f>
        <v/>
      </c>
      <c r="D38" s="4">
        <f t="shared" si="0"/>
        <v>45260</v>
      </c>
      <c r="E38" s="61"/>
      <c r="F38" s="61"/>
      <c r="G38" s="61"/>
      <c r="H38" s="61"/>
      <c r="I38" s="62"/>
      <c r="J38" s="60" t="str">
        <f>_xlfn.XLOOKUP(Nov[[#This Row],[Date]],Obs_day,Hol,"")</f>
        <v/>
      </c>
      <c r="L38" s="1">
        <v>45260</v>
      </c>
    </row>
    <row r="39" spans="1:12" x14ac:dyDescent="0.25">
      <c r="A39" s="30"/>
      <c r="B39" s="31"/>
      <c r="C39" s="31"/>
      <c r="D39" s="32"/>
      <c r="E39" s="34">
        <f>SUBTOTAL(109,Nov[Vacation
Hours])</f>
        <v>0</v>
      </c>
      <c r="F39" s="34">
        <f>SUBTOTAL(109,Nov[Sick
Hours])</f>
        <v>0</v>
      </c>
      <c r="G39" s="34">
        <f>SUBTOTAL(109,Nov[Float.
Hours])</f>
        <v>0</v>
      </c>
      <c r="H39" s="34">
        <f>SUBTOTAL(109,Nov[Other
Hours])</f>
        <v>0</v>
      </c>
      <c r="I39" s="28"/>
      <c r="J39" s="29"/>
      <c r="L39" s="1"/>
    </row>
    <row r="40" spans="1:12" x14ac:dyDescent="0.25">
      <c r="A40" s="65"/>
      <c r="B40" s="65"/>
      <c r="C40" s="65"/>
      <c r="D40" s="65"/>
      <c r="E40" s="65"/>
      <c r="F40" s="65"/>
      <c r="G40" s="65"/>
      <c r="H40" s="65"/>
      <c r="I40" s="65"/>
      <c r="J40" s="65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ht="15.75" thickBot="1" x14ac:dyDescent="0.3">
      <c r="A42" s="66"/>
      <c r="B42" s="66"/>
      <c r="C42" s="66"/>
      <c r="D42" s="66"/>
      <c r="E42" s="66"/>
      <c r="F42" s="66"/>
      <c r="G42" s="66"/>
      <c r="H42" s="65"/>
      <c r="I42" s="65"/>
      <c r="J42" s="65"/>
    </row>
    <row r="43" spans="1:12" x14ac:dyDescent="0.25">
      <c r="A43" s="7" t="s">
        <v>38</v>
      </c>
      <c r="B43" s="7"/>
      <c r="C43" s="7"/>
      <c r="D43" s="7"/>
      <c r="E43" s="7"/>
      <c r="F43" s="7"/>
      <c r="G43" s="7" t="s">
        <v>7</v>
      </c>
    </row>
    <row r="44" spans="1:12" x14ac:dyDescent="0.25">
      <c r="A44" s="65"/>
      <c r="B44" s="65"/>
      <c r="C44" s="65"/>
      <c r="D44" s="65"/>
      <c r="E44" s="65"/>
      <c r="F44" s="65"/>
      <c r="G44" s="65"/>
      <c r="H44" s="65"/>
      <c r="I44" s="65"/>
      <c r="J44" s="65"/>
    </row>
    <row r="45" spans="1:12" ht="15.75" thickBot="1" x14ac:dyDescent="0.3">
      <c r="A45" s="66"/>
      <c r="B45" s="66"/>
      <c r="C45" s="66"/>
      <c r="D45" s="66"/>
      <c r="E45" s="66"/>
      <c r="F45" s="66"/>
      <c r="G45" s="66"/>
      <c r="H45" s="65"/>
      <c r="I45" s="65"/>
      <c r="J45" s="65"/>
    </row>
    <row r="46" spans="1:12" x14ac:dyDescent="0.25">
      <c r="A46" s="7" t="s">
        <v>39</v>
      </c>
      <c r="G46" s="7" t="s">
        <v>7</v>
      </c>
    </row>
  </sheetData>
  <sheetProtection algorithmName="SHA-512" hashValue="gW5akc47CbXFLy/b04jU0wBo4Rj8qBiX8GUs/3J77cgDvwU/4rmU6G3L1BbvzLQn4IB80spZXEgNb08n5BzEIg==" saltValue="DIN4PILnrSzGr0y2UktjCQ==" spinCount="100000" sheet="1" objects="1" scenarios="1"/>
  <mergeCells count="2">
    <mergeCell ref="D5:F5"/>
    <mergeCell ref="D6:F6"/>
  </mergeCells>
  <conditionalFormatting sqref="E9:J38">
    <cfRule type="expression" dxfId="105" priority="1">
      <formula>$C9=1</formula>
    </cfRule>
    <cfRule type="expression" dxfId="104" priority="2">
      <formula>$B9&gt;5</formula>
    </cfRule>
  </conditionalFormatting>
  <dataValidations count="2">
    <dataValidation type="list" allowBlank="1" showInputMessage="1" showErrorMessage="1" sqref="I9:I38" xr:uid="{01474FDF-01EF-4318-A4DB-0E9AC469FD98}">
      <formula1>Codes_for_Other</formula1>
    </dataValidation>
    <dataValidation allowBlank="1" showInputMessage="1" showErrorMessage="1" promptTitle="Personal Information Update" prompt="Enter your Name, ID, and Location in the Jan sheet." sqref="D5:F5" xr:uid="{C8B11AC3-AA63-4AB7-9211-476FA7F1C557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5CEBE6-FC09-4158-9012-28E68C03A573}">
  <sheetPr>
    <pageSetUpPr fitToPage="1"/>
  </sheetPr>
  <dimension ref="A1:N47"/>
  <sheetViews>
    <sheetView tabSelected="1" zoomScaleNormal="100" workbookViewId="0">
      <selection activeCell="E9" sqref="E9"/>
    </sheetView>
  </sheetViews>
  <sheetFormatPr defaultRowHeight="15" x14ac:dyDescent="0.25"/>
  <cols>
    <col min="1" max="1" width="10.85546875" customWidth="1"/>
    <col min="2" max="2" width="9.140625" hidden="1" customWidth="1"/>
    <col min="3" max="3" width="9.28515625" hidden="1" customWidth="1"/>
    <col min="4" max="4" width="12.28515625" customWidth="1"/>
    <col min="5" max="9" width="10.5703125" customWidth="1"/>
    <col min="10" max="10" width="23.85546875" customWidth="1"/>
    <col min="12" max="12" width="10.5703125" hidden="1" customWidth="1"/>
  </cols>
  <sheetData>
    <row r="1" spans="1:14" ht="18" x14ac:dyDescent="0.25">
      <c r="A1" s="8" t="s">
        <v>4</v>
      </c>
      <c r="B1" s="8"/>
      <c r="C1" s="8"/>
    </row>
    <row r="2" spans="1:14" x14ac:dyDescent="0.25">
      <c r="A2" s="9" t="s">
        <v>0</v>
      </c>
      <c r="B2" s="9"/>
      <c r="C2" s="9"/>
    </row>
    <row r="3" spans="1:14" ht="15.75" thickBot="1" x14ac:dyDescent="0.3">
      <c r="A3" s="9"/>
      <c r="B3" s="9"/>
      <c r="C3" s="9"/>
    </row>
    <row r="4" spans="1:14" ht="15.75" thickBot="1" x14ac:dyDescent="0.3">
      <c r="I4" s="35" t="s">
        <v>9</v>
      </c>
      <c r="J4" s="14">
        <f>EOMONTH(Jan!J4,10)+1</f>
        <v>45261</v>
      </c>
    </row>
    <row r="5" spans="1:14" x14ac:dyDescent="0.25">
      <c r="A5" s="35" t="s">
        <v>1</v>
      </c>
      <c r="B5" s="39"/>
      <c r="C5" s="39"/>
      <c r="D5" s="44">
        <f>LN</f>
        <v>0</v>
      </c>
      <c r="E5" s="45"/>
      <c r="F5" s="46"/>
      <c r="G5" s="7"/>
      <c r="I5" s="36" t="s">
        <v>76</v>
      </c>
      <c r="J5" s="15">
        <f>ID</f>
        <v>0</v>
      </c>
    </row>
    <row r="6" spans="1:14" ht="15.75" thickBot="1" x14ac:dyDescent="0.3">
      <c r="A6" s="37" t="s">
        <v>2</v>
      </c>
      <c r="B6" s="40"/>
      <c r="C6" s="40"/>
      <c r="D6" s="47">
        <f>FN</f>
        <v>0</v>
      </c>
      <c r="E6" s="48"/>
      <c r="F6" s="49"/>
      <c r="G6" s="7"/>
      <c r="I6" s="37" t="s">
        <v>8</v>
      </c>
      <c r="J6" s="16">
        <f>Location</f>
        <v>0</v>
      </c>
      <c r="L6" s="43">
        <f>COUNT(Dec[Date])</f>
        <v>31</v>
      </c>
    </row>
    <row r="7" spans="1:14" x14ac:dyDescent="0.25">
      <c r="L7">
        <f>_xlfn.DAYS(EOMONTH(J4,0)+1,J4)</f>
        <v>31</v>
      </c>
    </row>
    <row r="8" spans="1:14" ht="29.25" customHeight="1" thickBot="1" x14ac:dyDescent="0.3">
      <c r="A8" s="11" t="s">
        <v>3</v>
      </c>
      <c r="B8" s="11" t="s">
        <v>34</v>
      </c>
      <c r="C8" s="11" t="s">
        <v>35</v>
      </c>
      <c r="D8" s="12" t="s">
        <v>7</v>
      </c>
      <c r="E8" s="38" t="s">
        <v>67</v>
      </c>
      <c r="F8" s="38" t="s">
        <v>68</v>
      </c>
      <c r="G8" s="38" t="s">
        <v>69</v>
      </c>
      <c r="H8" s="38" t="s">
        <v>70</v>
      </c>
      <c r="I8" s="12" t="s">
        <v>5</v>
      </c>
      <c r="J8" s="13" t="s">
        <v>6</v>
      </c>
      <c r="L8" t="str">
        <f>TEXT(J4,"MMM")&amp;" "&amp;"Date"</f>
        <v>Dec Date</v>
      </c>
    </row>
    <row r="9" spans="1:14" ht="15.75" thickTop="1" x14ac:dyDescent="0.25">
      <c r="A9" s="18" t="str">
        <f>IF(Dec[[#This Row],[Date]]="","",UPPER(TEXT(Dec[[#This Row],[Date]],"DDD")))</f>
        <v>FRI</v>
      </c>
      <c r="B9" s="5">
        <f>IF(Dec[[#This Row],[Date]]="","",WEEKDAY(Dec[[#This Row],[Date]],11))</f>
        <v>5</v>
      </c>
      <c r="C9" s="5" t="str" cm="1">
        <f t="array" ref="C9">_xlfn.IFNA(_xlfn.XLOOKUP(Dec[[#This Row],[Date]],Obs_day,HN),"")</f>
        <v/>
      </c>
      <c r="D9" s="3">
        <f>IF(L9&gt;0,L9,"")</f>
        <v>45261</v>
      </c>
      <c r="E9" s="58"/>
      <c r="F9" s="58"/>
      <c r="G9" s="58"/>
      <c r="H9" s="58"/>
      <c r="I9" s="59"/>
      <c r="J9" s="60" t="str">
        <f>_xlfn.XLOOKUP(Dec[[#This Row],[Date]],Obs_day,Hol,"")</f>
        <v/>
      </c>
      <c r="L9" s="1" cm="1">
        <f t="array" ref="L9:L39">_xlfn.SEQUENCE(L7,1,J4,1)</f>
        <v>45261</v>
      </c>
      <c r="N9" s="41"/>
    </row>
    <row r="10" spans="1:14" x14ac:dyDescent="0.25">
      <c r="A10" s="17" t="str">
        <f>IF(Dec[[#This Row],[Date]]="","",UPPER(TEXT(Dec[[#This Row],[Date]],"DDD")))</f>
        <v>SAT</v>
      </c>
      <c r="B10" s="5">
        <f>IF(Dec[[#This Row],[Date]]="","",WEEKDAY(Dec[[#This Row],[Date]],11))</f>
        <v>6</v>
      </c>
      <c r="C10" s="5" t="str" cm="1">
        <f t="array" ref="C10">_xlfn.IFNA(_xlfn.XLOOKUP(Dec[[#This Row],[Date]],Obs_day,HN),"")</f>
        <v/>
      </c>
      <c r="D10" s="4">
        <f t="shared" ref="D10:D39" si="0">IF(L10&gt;0,L10,"")</f>
        <v>45262</v>
      </c>
      <c r="E10" s="61"/>
      <c r="F10" s="61"/>
      <c r="G10" s="61"/>
      <c r="H10" s="61"/>
      <c r="I10" s="62"/>
      <c r="J10" s="60" t="str">
        <f>_xlfn.XLOOKUP(Dec[[#This Row],[Date]],Obs_day,Hol,"")</f>
        <v/>
      </c>
      <c r="L10" s="1">
        <v>45262</v>
      </c>
      <c r="M10" s="42" t="str">
        <f>IF(L6&lt;&gt;L7,"Dates are incomplete. Click on the last right cell above the black corner in the table + hit TAB, then update the formatting.","")</f>
        <v/>
      </c>
      <c r="N10" s="42"/>
    </row>
    <row r="11" spans="1:14" x14ac:dyDescent="0.25">
      <c r="A11" s="17" t="str">
        <f>IF(Dec[[#This Row],[Date]]="","",UPPER(TEXT(Dec[[#This Row],[Date]],"DDD")))</f>
        <v>SUN</v>
      </c>
      <c r="B11" s="5">
        <f>IF(Dec[[#This Row],[Date]]="","",WEEKDAY(Dec[[#This Row],[Date]],11))</f>
        <v>7</v>
      </c>
      <c r="C11" s="5" t="str" cm="1">
        <f t="array" ref="C11">_xlfn.IFNA(_xlfn.XLOOKUP(Dec[[#This Row],[Date]],Obs_day,HN),"")</f>
        <v/>
      </c>
      <c r="D11" s="4">
        <f t="shared" si="0"/>
        <v>45263</v>
      </c>
      <c r="E11" s="61"/>
      <c r="F11" s="61"/>
      <c r="G11" s="61"/>
      <c r="H11" s="61"/>
      <c r="I11" s="62"/>
      <c r="J11" s="60" t="str">
        <f>_xlfn.XLOOKUP(Dec[[#This Row],[Date]],Obs_day,Hol,"")</f>
        <v/>
      </c>
      <c r="L11" s="1">
        <v>45263</v>
      </c>
    </row>
    <row r="12" spans="1:14" x14ac:dyDescent="0.25">
      <c r="A12" s="17" t="str">
        <f>IF(Dec[[#This Row],[Date]]="","",UPPER(TEXT(Dec[[#This Row],[Date]],"DDD")))</f>
        <v>MON</v>
      </c>
      <c r="B12" s="5">
        <f>IF(Dec[[#This Row],[Date]]="","",WEEKDAY(Dec[[#This Row],[Date]],11))</f>
        <v>1</v>
      </c>
      <c r="C12" s="5" t="str" cm="1">
        <f t="array" ref="C12">_xlfn.IFNA(_xlfn.XLOOKUP(Dec[[#This Row],[Date]],Obs_day,HN),"")</f>
        <v/>
      </c>
      <c r="D12" s="4">
        <f t="shared" si="0"/>
        <v>45264</v>
      </c>
      <c r="E12" s="61"/>
      <c r="F12" s="61"/>
      <c r="G12" s="61"/>
      <c r="H12" s="61"/>
      <c r="I12" s="62"/>
      <c r="J12" s="60" t="str">
        <f>_xlfn.XLOOKUP(Dec[[#This Row],[Date]],Obs_day,Hol,"")</f>
        <v/>
      </c>
      <c r="L12" s="1">
        <v>45264</v>
      </c>
    </row>
    <row r="13" spans="1:14" x14ac:dyDescent="0.25">
      <c r="A13" s="17" t="str">
        <f>IF(Dec[[#This Row],[Date]]="","",UPPER(TEXT(Dec[[#This Row],[Date]],"DDD")))</f>
        <v>TUE</v>
      </c>
      <c r="B13" s="5">
        <f>IF(Dec[[#This Row],[Date]]="","",WEEKDAY(Dec[[#This Row],[Date]],11))</f>
        <v>2</v>
      </c>
      <c r="C13" s="5" t="str" cm="1">
        <f t="array" ref="C13">_xlfn.IFNA(_xlfn.XLOOKUP(Dec[[#This Row],[Date]],Obs_day,HN),"")</f>
        <v/>
      </c>
      <c r="D13" s="4">
        <f t="shared" si="0"/>
        <v>45265</v>
      </c>
      <c r="E13" s="61"/>
      <c r="F13" s="61"/>
      <c r="G13" s="61"/>
      <c r="H13" s="61"/>
      <c r="I13" s="62"/>
      <c r="J13" s="60" t="str">
        <f>_xlfn.XLOOKUP(Dec[[#This Row],[Date]],Obs_day,Hol,"")</f>
        <v/>
      </c>
      <c r="L13" s="1">
        <v>45265</v>
      </c>
    </row>
    <row r="14" spans="1:14" x14ac:dyDescent="0.25">
      <c r="A14" s="17" t="str">
        <f>IF(Dec[[#This Row],[Date]]="","",UPPER(TEXT(Dec[[#This Row],[Date]],"DDD")))</f>
        <v>WED</v>
      </c>
      <c r="B14" s="5">
        <f>IF(Dec[[#This Row],[Date]]="","",WEEKDAY(Dec[[#This Row],[Date]],11))</f>
        <v>3</v>
      </c>
      <c r="C14" s="5" t="str" cm="1">
        <f t="array" ref="C14">_xlfn.IFNA(_xlfn.XLOOKUP(Dec[[#This Row],[Date]],Obs_day,HN),"")</f>
        <v/>
      </c>
      <c r="D14" s="4">
        <f t="shared" si="0"/>
        <v>45266</v>
      </c>
      <c r="E14" s="61"/>
      <c r="F14" s="61"/>
      <c r="G14" s="61"/>
      <c r="H14" s="61"/>
      <c r="I14" s="62"/>
      <c r="J14" s="60" t="str">
        <f>_xlfn.XLOOKUP(Dec[[#This Row],[Date]],Obs_day,Hol,"")</f>
        <v/>
      </c>
      <c r="L14" s="1">
        <v>45266</v>
      </c>
    </row>
    <row r="15" spans="1:14" x14ac:dyDescent="0.25">
      <c r="A15" s="17" t="str">
        <f>IF(Dec[[#This Row],[Date]]="","",UPPER(TEXT(Dec[[#This Row],[Date]],"DDD")))</f>
        <v>THU</v>
      </c>
      <c r="B15" s="5">
        <f>IF(Dec[[#This Row],[Date]]="","",WEEKDAY(Dec[[#This Row],[Date]],11))</f>
        <v>4</v>
      </c>
      <c r="C15" s="5" t="str" cm="1">
        <f t="array" ref="C15">_xlfn.IFNA(_xlfn.XLOOKUP(Dec[[#This Row],[Date]],Obs_day,HN),"")</f>
        <v/>
      </c>
      <c r="D15" s="4">
        <f t="shared" si="0"/>
        <v>45267</v>
      </c>
      <c r="E15" s="61"/>
      <c r="F15" s="61"/>
      <c r="G15" s="61"/>
      <c r="H15" s="61"/>
      <c r="I15" s="62"/>
      <c r="J15" s="60" t="str">
        <f>_xlfn.XLOOKUP(Dec[[#This Row],[Date]],Obs_day,Hol,"")</f>
        <v/>
      </c>
      <c r="L15" s="1">
        <v>45267</v>
      </c>
    </row>
    <row r="16" spans="1:14" x14ac:dyDescent="0.25">
      <c r="A16" s="17" t="str">
        <f>IF(Dec[[#This Row],[Date]]="","",UPPER(TEXT(Dec[[#This Row],[Date]],"DDD")))</f>
        <v>FRI</v>
      </c>
      <c r="B16" s="5">
        <f>IF(Dec[[#This Row],[Date]]="","",WEEKDAY(Dec[[#This Row],[Date]],11))</f>
        <v>5</v>
      </c>
      <c r="C16" s="5" t="str" cm="1">
        <f t="array" ref="C16">_xlfn.IFNA(_xlfn.XLOOKUP(Dec[[#This Row],[Date]],Obs_day,HN),"")</f>
        <v/>
      </c>
      <c r="D16" s="4">
        <f t="shared" si="0"/>
        <v>45268</v>
      </c>
      <c r="E16" s="61"/>
      <c r="F16" s="61"/>
      <c r="G16" s="61"/>
      <c r="H16" s="61"/>
      <c r="I16" s="62"/>
      <c r="J16" s="60" t="str">
        <f>_xlfn.XLOOKUP(Dec[[#This Row],[Date]],Obs_day,Hol,"")</f>
        <v/>
      </c>
      <c r="L16" s="1">
        <v>45268</v>
      </c>
    </row>
    <row r="17" spans="1:12" x14ac:dyDescent="0.25">
      <c r="A17" s="17" t="str">
        <f>IF(Dec[[#This Row],[Date]]="","",UPPER(TEXT(Dec[[#This Row],[Date]],"DDD")))</f>
        <v>SAT</v>
      </c>
      <c r="B17" s="5">
        <f>IF(Dec[[#This Row],[Date]]="","",WEEKDAY(Dec[[#This Row],[Date]],11))</f>
        <v>6</v>
      </c>
      <c r="C17" s="5" t="str" cm="1">
        <f t="array" ref="C17">_xlfn.IFNA(_xlfn.XLOOKUP(Dec[[#This Row],[Date]],Obs_day,HN),"")</f>
        <v/>
      </c>
      <c r="D17" s="4">
        <f t="shared" si="0"/>
        <v>45269</v>
      </c>
      <c r="E17" s="61"/>
      <c r="F17" s="61"/>
      <c r="G17" s="61"/>
      <c r="H17" s="61"/>
      <c r="I17" s="62"/>
      <c r="J17" s="60" t="str">
        <f>_xlfn.XLOOKUP(Dec[[#This Row],[Date]],Obs_day,Hol,"")</f>
        <v/>
      </c>
      <c r="L17" s="1">
        <v>45269</v>
      </c>
    </row>
    <row r="18" spans="1:12" x14ac:dyDescent="0.25">
      <c r="A18" s="17" t="str">
        <f>IF(Dec[[#This Row],[Date]]="","",UPPER(TEXT(Dec[[#This Row],[Date]],"DDD")))</f>
        <v>SUN</v>
      </c>
      <c r="B18" s="5">
        <f>IF(Dec[[#This Row],[Date]]="","",WEEKDAY(Dec[[#This Row],[Date]],11))</f>
        <v>7</v>
      </c>
      <c r="C18" s="5" t="str" cm="1">
        <f t="array" ref="C18">_xlfn.IFNA(_xlfn.XLOOKUP(Dec[[#This Row],[Date]],Obs_day,HN),"")</f>
        <v/>
      </c>
      <c r="D18" s="4">
        <f t="shared" si="0"/>
        <v>45270</v>
      </c>
      <c r="E18" s="61"/>
      <c r="F18" s="61"/>
      <c r="G18" s="61"/>
      <c r="H18" s="61"/>
      <c r="I18" s="62"/>
      <c r="J18" s="60" t="str">
        <f>_xlfn.XLOOKUP(Dec[[#This Row],[Date]],Obs_day,Hol,"")</f>
        <v/>
      </c>
      <c r="L18" s="1">
        <v>45270</v>
      </c>
    </row>
    <row r="19" spans="1:12" x14ac:dyDescent="0.25">
      <c r="A19" s="17" t="str">
        <f>IF(Dec[[#This Row],[Date]]="","",UPPER(TEXT(Dec[[#This Row],[Date]],"DDD")))</f>
        <v>MON</v>
      </c>
      <c r="B19" s="5">
        <f>IF(Dec[[#This Row],[Date]]="","",WEEKDAY(Dec[[#This Row],[Date]],11))</f>
        <v>1</v>
      </c>
      <c r="C19" s="5" t="str" cm="1">
        <f t="array" ref="C19">_xlfn.IFNA(_xlfn.XLOOKUP(Dec[[#This Row],[Date]],Obs_day,HN),"")</f>
        <v/>
      </c>
      <c r="D19" s="4">
        <f t="shared" si="0"/>
        <v>45271</v>
      </c>
      <c r="E19" s="61"/>
      <c r="F19" s="61"/>
      <c r="G19" s="61"/>
      <c r="H19" s="61"/>
      <c r="I19" s="62"/>
      <c r="J19" s="60" t="str">
        <f>_xlfn.XLOOKUP(Dec[[#This Row],[Date]],Obs_day,Hol,"")</f>
        <v/>
      </c>
      <c r="L19" s="1">
        <v>45271</v>
      </c>
    </row>
    <row r="20" spans="1:12" x14ac:dyDescent="0.25">
      <c r="A20" s="17" t="str">
        <f>IF(Dec[[#This Row],[Date]]="","",UPPER(TEXT(Dec[[#This Row],[Date]],"DDD")))</f>
        <v>TUE</v>
      </c>
      <c r="B20" s="5">
        <f>IF(Dec[[#This Row],[Date]]="","",WEEKDAY(Dec[[#This Row],[Date]],11))</f>
        <v>2</v>
      </c>
      <c r="C20" s="5" t="str" cm="1">
        <f t="array" ref="C20">_xlfn.IFNA(_xlfn.XLOOKUP(Dec[[#This Row],[Date]],Obs_day,HN),"")</f>
        <v/>
      </c>
      <c r="D20" s="4">
        <f t="shared" si="0"/>
        <v>45272</v>
      </c>
      <c r="E20" s="61"/>
      <c r="F20" s="61"/>
      <c r="G20" s="61"/>
      <c r="H20" s="61"/>
      <c r="I20" s="62"/>
      <c r="J20" s="60" t="str">
        <f>_xlfn.XLOOKUP(Dec[[#This Row],[Date]],Obs_day,Hol,"")</f>
        <v/>
      </c>
      <c r="L20" s="1">
        <v>45272</v>
      </c>
    </row>
    <row r="21" spans="1:12" x14ac:dyDescent="0.25">
      <c r="A21" s="17" t="str">
        <f>IF(Dec[[#This Row],[Date]]="","",UPPER(TEXT(Dec[[#This Row],[Date]],"DDD")))</f>
        <v>WED</v>
      </c>
      <c r="B21" s="5">
        <f>IF(Dec[[#This Row],[Date]]="","",WEEKDAY(Dec[[#This Row],[Date]],11))</f>
        <v>3</v>
      </c>
      <c r="C21" s="5" t="str" cm="1">
        <f t="array" ref="C21">_xlfn.IFNA(_xlfn.XLOOKUP(Dec[[#This Row],[Date]],Obs_day,HN),"")</f>
        <v/>
      </c>
      <c r="D21" s="4">
        <f t="shared" si="0"/>
        <v>45273</v>
      </c>
      <c r="E21" s="61"/>
      <c r="F21" s="61"/>
      <c r="G21" s="61"/>
      <c r="H21" s="61"/>
      <c r="I21" s="62"/>
      <c r="J21" s="60" t="str">
        <f>_xlfn.XLOOKUP(Dec[[#This Row],[Date]],Obs_day,Hol,"")</f>
        <v/>
      </c>
      <c r="L21" s="1">
        <v>45273</v>
      </c>
    </row>
    <row r="22" spans="1:12" x14ac:dyDescent="0.25">
      <c r="A22" s="17" t="str">
        <f>IF(Dec[[#This Row],[Date]]="","",UPPER(TEXT(Dec[[#This Row],[Date]],"DDD")))</f>
        <v>THU</v>
      </c>
      <c r="B22" s="5">
        <f>IF(Dec[[#This Row],[Date]]="","",WEEKDAY(Dec[[#This Row],[Date]],11))</f>
        <v>4</v>
      </c>
      <c r="C22" s="5" t="str" cm="1">
        <f t="array" ref="C22">_xlfn.IFNA(_xlfn.XLOOKUP(Dec[[#This Row],[Date]],Obs_day,HN),"")</f>
        <v/>
      </c>
      <c r="D22" s="4">
        <f t="shared" si="0"/>
        <v>45274</v>
      </c>
      <c r="E22" s="61"/>
      <c r="F22" s="61"/>
      <c r="G22" s="61"/>
      <c r="H22" s="61"/>
      <c r="I22" s="62"/>
      <c r="J22" s="60" t="str">
        <f>_xlfn.XLOOKUP(Dec[[#This Row],[Date]],Obs_day,Hol,"")</f>
        <v/>
      </c>
      <c r="L22" s="1">
        <v>45274</v>
      </c>
    </row>
    <row r="23" spans="1:12" x14ac:dyDescent="0.25">
      <c r="A23" s="17" t="str">
        <f>IF(Dec[[#This Row],[Date]]="","",UPPER(TEXT(Dec[[#This Row],[Date]],"DDD")))</f>
        <v>FRI</v>
      </c>
      <c r="B23" s="5">
        <f>IF(Dec[[#This Row],[Date]]="","",WEEKDAY(Dec[[#This Row],[Date]],11))</f>
        <v>5</v>
      </c>
      <c r="C23" s="5" t="str" cm="1">
        <f t="array" ref="C23">_xlfn.IFNA(_xlfn.XLOOKUP(Dec[[#This Row],[Date]],Obs_day,HN),"")</f>
        <v/>
      </c>
      <c r="D23" s="4">
        <f t="shared" si="0"/>
        <v>45275</v>
      </c>
      <c r="E23" s="61"/>
      <c r="F23" s="61"/>
      <c r="G23" s="61"/>
      <c r="H23" s="61"/>
      <c r="I23" s="62"/>
      <c r="J23" s="60" t="str">
        <f>_xlfn.XLOOKUP(Dec[[#This Row],[Date]],Obs_day,Hol,"")</f>
        <v/>
      </c>
      <c r="L23" s="1">
        <v>45275</v>
      </c>
    </row>
    <row r="24" spans="1:12" x14ac:dyDescent="0.25">
      <c r="A24" s="17" t="str">
        <f>IF(Dec[[#This Row],[Date]]="","",UPPER(TEXT(Dec[[#This Row],[Date]],"DDD")))</f>
        <v>SAT</v>
      </c>
      <c r="B24" s="5">
        <f>IF(Dec[[#This Row],[Date]]="","",WEEKDAY(Dec[[#This Row],[Date]],11))</f>
        <v>6</v>
      </c>
      <c r="C24" s="5" t="str" cm="1">
        <f t="array" ref="C24">_xlfn.IFNA(_xlfn.XLOOKUP(Dec[[#This Row],[Date]],Obs_day,HN),"")</f>
        <v/>
      </c>
      <c r="D24" s="4">
        <f t="shared" si="0"/>
        <v>45276</v>
      </c>
      <c r="E24" s="61"/>
      <c r="F24" s="61"/>
      <c r="G24" s="61"/>
      <c r="H24" s="61"/>
      <c r="I24" s="62"/>
      <c r="J24" s="60" t="str">
        <f>_xlfn.XLOOKUP(Dec[[#This Row],[Date]],Obs_day,Hol,"")</f>
        <v/>
      </c>
      <c r="L24" s="1">
        <v>45276</v>
      </c>
    </row>
    <row r="25" spans="1:12" x14ac:dyDescent="0.25">
      <c r="A25" s="17" t="str">
        <f>IF(Dec[[#This Row],[Date]]="","",UPPER(TEXT(Dec[[#This Row],[Date]],"DDD")))</f>
        <v>SUN</v>
      </c>
      <c r="B25" s="5">
        <f>IF(Dec[[#This Row],[Date]]="","",WEEKDAY(Dec[[#This Row],[Date]],11))</f>
        <v>7</v>
      </c>
      <c r="C25" s="5" t="str" cm="1">
        <f t="array" ref="C25">_xlfn.IFNA(_xlfn.XLOOKUP(Dec[[#This Row],[Date]],Obs_day,HN),"")</f>
        <v/>
      </c>
      <c r="D25" s="4">
        <f t="shared" si="0"/>
        <v>45277</v>
      </c>
      <c r="E25" s="61"/>
      <c r="F25" s="61"/>
      <c r="G25" s="61"/>
      <c r="H25" s="61"/>
      <c r="I25" s="62"/>
      <c r="J25" s="60" t="str">
        <f>_xlfn.XLOOKUP(Dec[[#This Row],[Date]],Obs_day,Hol,"")</f>
        <v/>
      </c>
      <c r="L25" s="1">
        <v>45277</v>
      </c>
    </row>
    <row r="26" spans="1:12" x14ac:dyDescent="0.25">
      <c r="A26" s="17" t="str">
        <f>IF(Dec[[#This Row],[Date]]="","",UPPER(TEXT(Dec[[#This Row],[Date]],"DDD")))</f>
        <v>MON</v>
      </c>
      <c r="B26" s="5">
        <f>IF(Dec[[#This Row],[Date]]="","",WEEKDAY(Dec[[#This Row],[Date]],11))</f>
        <v>1</v>
      </c>
      <c r="C26" s="5" t="str" cm="1">
        <f t="array" ref="C26">_xlfn.IFNA(_xlfn.XLOOKUP(Dec[[#This Row],[Date]],Obs_day,HN),"")</f>
        <v/>
      </c>
      <c r="D26" s="4">
        <f t="shared" si="0"/>
        <v>45278</v>
      </c>
      <c r="E26" s="61"/>
      <c r="F26" s="61"/>
      <c r="G26" s="61"/>
      <c r="H26" s="61"/>
      <c r="I26" s="62"/>
      <c r="J26" s="60" t="str">
        <f>_xlfn.XLOOKUP(Dec[[#This Row],[Date]],Obs_day,Hol,"")</f>
        <v/>
      </c>
      <c r="L26" s="1">
        <v>45278</v>
      </c>
    </row>
    <row r="27" spans="1:12" x14ac:dyDescent="0.25">
      <c r="A27" s="17" t="str">
        <f>IF(Dec[[#This Row],[Date]]="","",UPPER(TEXT(Dec[[#This Row],[Date]],"DDD")))</f>
        <v>TUE</v>
      </c>
      <c r="B27" s="5">
        <f>IF(Dec[[#This Row],[Date]]="","",WEEKDAY(Dec[[#This Row],[Date]],11))</f>
        <v>2</v>
      </c>
      <c r="C27" s="5" t="str" cm="1">
        <f t="array" ref="C27">_xlfn.IFNA(_xlfn.XLOOKUP(Dec[[#This Row],[Date]],Obs_day,HN),"")</f>
        <v/>
      </c>
      <c r="D27" s="4">
        <f t="shared" si="0"/>
        <v>45279</v>
      </c>
      <c r="E27" s="61"/>
      <c r="F27" s="61"/>
      <c r="G27" s="61"/>
      <c r="H27" s="61"/>
      <c r="I27" s="62"/>
      <c r="J27" s="60" t="str">
        <f>_xlfn.XLOOKUP(Dec[[#This Row],[Date]],Obs_day,Hol,"")</f>
        <v/>
      </c>
      <c r="L27" s="1">
        <v>45279</v>
      </c>
    </row>
    <row r="28" spans="1:12" x14ac:dyDescent="0.25">
      <c r="A28" s="17" t="str">
        <f>IF(Dec[[#This Row],[Date]]="","",UPPER(TEXT(Dec[[#This Row],[Date]],"DDD")))</f>
        <v>WED</v>
      </c>
      <c r="B28" s="5">
        <f>IF(Dec[[#This Row],[Date]]="","",WEEKDAY(Dec[[#This Row],[Date]],11))</f>
        <v>3</v>
      </c>
      <c r="C28" s="5" t="str" cm="1">
        <f t="array" ref="C28">_xlfn.IFNA(_xlfn.XLOOKUP(Dec[[#This Row],[Date]],Obs_day,HN),"")</f>
        <v/>
      </c>
      <c r="D28" s="4">
        <f t="shared" si="0"/>
        <v>45280</v>
      </c>
      <c r="E28" s="61"/>
      <c r="F28" s="61"/>
      <c r="G28" s="61"/>
      <c r="H28" s="61"/>
      <c r="I28" s="62"/>
      <c r="J28" s="60" t="str">
        <f>_xlfn.XLOOKUP(Dec[[#This Row],[Date]],Obs_day,Hol,"")</f>
        <v/>
      </c>
      <c r="L28" s="1">
        <v>45280</v>
      </c>
    </row>
    <row r="29" spans="1:12" x14ac:dyDescent="0.25">
      <c r="A29" s="17" t="str">
        <f>IF(Dec[[#This Row],[Date]]="","",UPPER(TEXT(Dec[[#This Row],[Date]],"DDD")))</f>
        <v>THU</v>
      </c>
      <c r="B29" s="5">
        <f>IF(Dec[[#This Row],[Date]]="","",WEEKDAY(Dec[[#This Row],[Date]],11))</f>
        <v>4</v>
      </c>
      <c r="C29" s="5" t="str" cm="1">
        <f t="array" ref="C29">_xlfn.IFNA(_xlfn.XLOOKUP(Dec[[#This Row],[Date]],Obs_day,HN),"")</f>
        <v/>
      </c>
      <c r="D29" s="4">
        <f t="shared" si="0"/>
        <v>45281</v>
      </c>
      <c r="E29" s="61"/>
      <c r="F29" s="61"/>
      <c r="G29" s="61"/>
      <c r="H29" s="61"/>
      <c r="I29" s="62"/>
      <c r="J29" s="60" t="str">
        <f>_xlfn.XLOOKUP(Dec[[#This Row],[Date]],Obs_day,Hol,"")</f>
        <v/>
      </c>
      <c r="L29" s="1">
        <v>45281</v>
      </c>
    </row>
    <row r="30" spans="1:12" x14ac:dyDescent="0.25">
      <c r="A30" s="17" t="str">
        <f>IF(Dec[[#This Row],[Date]]="","",UPPER(TEXT(Dec[[#This Row],[Date]],"DDD")))</f>
        <v>FRI</v>
      </c>
      <c r="B30" s="5">
        <f>IF(Dec[[#This Row],[Date]]="","",WEEKDAY(Dec[[#This Row],[Date]],11))</f>
        <v>5</v>
      </c>
      <c r="C30" s="5" t="str" cm="1">
        <f t="array" ref="C30">_xlfn.IFNA(_xlfn.XLOOKUP(Dec[[#This Row],[Date]],Obs_day,HN),"")</f>
        <v/>
      </c>
      <c r="D30" s="4">
        <f t="shared" si="0"/>
        <v>45282</v>
      </c>
      <c r="E30" s="61"/>
      <c r="F30" s="61"/>
      <c r="G30" s="61"/>
      <c r="H30" s="61"/>
      <c r="I30" s="62"/>
      <c r="J30" s="60" t="str">
        <f>_xlfn.XLOOKUP(Dec[[#This Row],[Date]],Obs_day,Hol,"")</f>
        <v/>
      </c>
      <c r="L30" s="1">
        <v>45282</v>
      </c>
    </row>
    <row r="31" spans="1:12" x14ac:dyDescent="0.25">
      <c r="A31" s="17" t="str">
        <f>IF(Dec[[#This Row],[Date]]="","",UPPER(TEXT(Dec[[#This Row],[Date]],"DDD")))</f>
        <v>SAT</v>
      </c>
      <c r="B31" s="5">
        <f>IF(Dec[[#This Row],[Date]]="","",WEEKDAY(Dec[[#This Row],[Date]],11))</f>
        <v>6</v>
      </c>
      <c r="C31" s="5" cm="1">
        <f t="array" ref="C31">_xlfn.IFNA(_xlfn.XLOOKUP(Dec[[#This Row],[Date]],Obs_day,HN),"")</f>
        <v>1</v>
      </c>
      <c r="D31" s="4">
        <f t="shared" si="0"/>
        <v>45283</v>
      </c>
      <c r="E31" s="61"/>
      <c r="F31" s="61"/>
      <c r="G31" s="61"/>
      <c r="H31" s="61"/>
      <c r="I31" s="62"/>
      <c r="J31" s="64" t="str">
        <f>_xlfn.XLOOKUP(Dec[[#This Row],[Date]],Obs_day,Hol,"")</f>
        <v xml:space="preserve">Holiday Closure </v>
      </c>
      <c r="L31" s="1">
        <v>45283</v>
      </c>
    </row>
    <row r="32" spans="1:12" x14ac:dyDescent="0.25">
      <c r="A32" s="17" t="str">
        <f>IF(Dec[[#This Row],[Date]]="","",UPPER(TEXT(Dec[[#This Row],[Date]],"DDD")))</f>
        <v>SUN</v>
      </c>
      <c r="B32" s="5">
        <f>IF(Dec[[#This Row],[Date]]="","",WEEKDAY(Dec[[#This Row],[Date]],11))</f>
        <v>7</v>
      </c>
      <c r="C32" s="5" cm="1">
        <f t="array" ref="C32">_xlfn.IFNA(_xlfn.XLOOKUP(Dec[[#This Row],[Date]],Obs_day,HN),"")</f>
        <v>1</v>
      </c>
      <c r="D32" s="4">
        <f t="shared" si="0"/>
        <v>45284</v>
      </c>
      <c r="E32" s="61"/>
      <c r="F32" s="61"/>
      <c r="G32" s="61"/>
      <c r="H32" s="61"/>
      <c r="I32" s="62"/>
      <c r="J32" s="64" t="str">
        <f>_xlfn.XLOOKUP(Dec[[#This Row],[Date]],Obs_day,Hol,"")</f>
        <v xml:space="preserve">Holiday Closure </v>
      </c>
      <c r="L32" s="1">
        <v>45284</v>
      </c>
    </row>
    <row r="33" spans="1:12" x14ac:dyDescent="0.25">
      <c r="A33" s="17" t="str">
        <f>IF(Dec[[#This Row],[Date]]="","",UPPER(TEXT(Dec[[#This Row],[Date]],"DDD")))</f>
        <v>MON</v>
      </c>
      <c r="B33" s="5">
        <f>IF(Dec[[#This Row],[Date]]="","",WEEKDAY(Dec[[#This Row],[Date]],11))</f>
        <v>1</v>
      </c>
      <c r="C33" s="5" cm="1">
        <f t="array" ref="C33">_xlfn.IFNA(_xlfn.XLOOKUP(Dec[[#This Row],[Date]],Obs_day,HN),"")</f>
        <v>1</v>
      </c>
      <c r="D33" s="4">
        <f t="shared" si="0"/>
        <v>45285</v>
      </c>
      <c r="E33" s="61"/>
      <c r="F33" s="61"/>
      <c r="G33" s="61"/>
      <c r="H33" s="61"/>
      <c r="I33" s="62"/>
      <c r="J33" s="64" t="str">
        <f>_xlfn.XLOOKUP(Dec[[#This Row],[Date]],Obs_day,Hol,"")</f>
        <v>Christmas Eve Observance</v>
      </c>
      <c r="L33" s="1">
        <v>45285</v>
      </c>
    </row>
    <row r="34" spans="1:12" x14ac:dyDescent="0.25">
      <c r="A34" s="17" t="str">
        <f>IF(Dec[[#This Row],[Date]]="","",UPPER(TEXT(Dec[[#This Row],[Date]],"DDD")))</f>
        <v>TUE</v>
      </c>
      <c r="B34" s="5">
        <f>IF(Dec[[#This Row],[Date]]="","",WEEKDAY(Dec[[#This Row],[Date]],11))</f>
        <v>2</v>
      </c>
      <c r="C34" s="5" cm="1">
        <f t="array" ref="C34">_xlfn.IFNA(_xlfn.XLOOKUP(Dec[[#This Row],[Date]],Obs_day,HN),"")</f>
        <v>1</v>
      </c>
      <c r="D34" s="4">
        <f t="shared" si="0"/>
        <v>45286</v>
      </c>
      <c r="E34" s="61"/>
      <c r="F34" s="61"/>
      <c r="G34" s="61"/>
      <c r="H34" s="61"/>
      <c r="I34" s="62"/>
      <c r="J34" s="64" t="str">
        <f>_xlfn.XLOOKUP(Dec[[#This Row],[Date]],Obs_day,Hol,"")</f>
        <v>Christmas Day Observance</v>
      </c>
      <c r="L34" s="1">
        <v>45286</v>
      </c>
    </row>
    <row r="35" spans="1:12" x14ac:dyDescent="0.25">
      <c r="A35" s="17" t="str">
        <f>IF(Dec[[#This Row],[Date]]="","",UPPER(TEXT(Dec[[#This Row],[Date]],"DDD")))</f>
        <v>WED</v>
      </c>
      <c r="B35" s="5">
        <f>IF(Dec[[#This Row],[Date]]="","",WEEKDAY(Dec[[#This Row],[Date]],11))</f>
        <v>3</v>
      </c>
      <c r="C35" s="5" cm="1">
        <f t="array" ref="C35">_xlfn.IFNA(_xlfn.XLOOKUP(Dec[[#This Row],[Date]],Obs_day,HN),"")</f>
        <v>1</v>
      </c>
      <c r="D35" s="4">
        <f t="shared" si="0"/>
        <v>45287</v>
      </c>
      <c r="E35" s="61"/>
      <c r="F35" s="61"/>
      <c r="G35" s="61"/>
      <c r="H35" s="61"/>
      <c r="I35" s="62"/>
      <c r="J35" s="64" t="str">
        <f>_xlfn.XLOOKUP(Dec[[#This Row],[Date]],Obs_day,Hol,"")</f>
        <v xml:space="preserve">Holiday Closure </v>
      </c>
      <c r="L35" s="1">
        <v>45287</v>
      </c>
    </row>
    <row r="36" spans="1:12" x14ac:dyDescent="0.25">
      <c r="A36" s="17" t="str">
        <f>IF(Dec[[#This Row],[Date]]="","",UPPER(TEXT(Dec[[#This Row],[Date]],"DDD")))</f>
        <v>THU</v>
      </c>
      <c r="B36" s="5">
        <f>IF(Dec[[#This Row],[Date]]="","",WEEKDAY(Dec[[#This Row],[Date]],11))</f>
        <v>4</v>
      </c>
      <c r="C36" s="5" cm="1">
        <f t="array" ref="C36">_xlfn.IFNA(_xlfn.XLOOKUP(Dec[[#This Row],[Date]],Obs_day,HN),"")</f>
        <v>1</v>
      </c>
      <c r="D36" s="4">
        <f t="shared" si="0"/>
        <v>45288</v>
      </c>
      <c r="E36" s="61"/>
      <c r="F36" s="61"/>
      <c r="G36" s="61"/>
      <c r="H36" s="61"/>
      <c r="I36" s="62"/>
      <c r="J36" s="64" t="str">
        <f>_xlfn.XLOOKUP(Dec[[#This Row],[Date]],Obs_day,Hol,"")</f>
        <v xml:space="preserve">Holiday Closure </v>
      </c>
      <c r="L36" s="1">
        <v>45288</v>
      </c>
    </row>
    <row r="37" spans="1:12" x14ac:dyDescent="0.25">
      <c r="A37" s="17" t="str">
        <f>IF(Dec[[#This Row],[Date]]="","",UPPER(TEXT(Dec[[#This Row],[Date]],"DDD")))</f>
        <v>FRI</v>
      </c>
      <c r="B37" s="5">
        <f>IF(Dec[[#This Row],[Date]]="","",WEEKDAY(Dec[[#This Row],[Date]],11))</f>
        <v>5</v>
      </c>
      <c r="C37" s="5" cm="1">
        <f t="array" ref="C37">_xlfn.IFNA(_xlfn.XLOOKUP(Dec[[#This Row],[Date]],Obs_day,HN),"")</f>
        <v>1</v>
      </c>
      <c r="D37" s="4">
        <f t="shared" si="0"/>
        <v>45289</v>
      </c>
      <c r="E37" s="61"/>
      <c r="F37" s="61"/>
      <c r="G37" s="61"/>
      <c r="H37" s="61"/>
      <c r="I37" s="62"/>
      <c r="J37" s="64" t="str">
        <f>_xlfn.XLOOKUP(Dec[[#This Row],[Date]],Obs_day,Hol,"")</f>
        <v xml:space="preserve">Holiday Closure </v>
      </c>
      <c r="L37" s="1">
        <v>45289</v>
      </c>
    </row>
    <row r="38" spans="1:12" x14ac:dyDescent="0.25">
      <c r="A38" s="17" t="str">
        <f>IF(Dec[[#This Row],[Date]]="","",UPPER(TEXT(Dec[[#This Row],[Date]],"DDD")))</f>
        <v>SAT</v>
      </c>
      <c r="B38" s="5">
        <f>IF(Dec[[#This Row],[Date]]="","",WEEKDAY(Dec[[#This Row],[Date]],11))</f>
        <v>6</v>
      </c>
      <c r="C38" s="5" cm="1">
        <f t="array" ref="C38">_xlfn.IFNA(_xlfn.XLOOKUP(Dec[[#This Row],[Date]],Obs_day,HN),"")</f>
        <v>1</v>
      </c>
      <c r="D38" s="4">
        <f t="shared" si="0"/>
        <v>45290</v>
      </c>
      <c r="E38" s="61"/>
      <c r="F38" s="61"/>
      <c r="G38" s="61"/>
      <c r="H38" s="61"/>
      <c r="I38" s="62"/>
      <c r="J38" s="64" t="str">
        <f>_xlfn.XLOOKUP(Dec[[#This Row],[Date]],Obs_day,Hol,"")</f>
        <v xml:space="preserve">Holiday Closure </v>
      </c>
      <c r="L38" s="1">
        <v>45290</v>
      </c>
    </row>
    <row r="39" spans="1:12" x14ac:dyDescent="0.25">
      <c r="A39" s="17" t="str">
        <f>IF(Dec[[#This Row],[Date]]="","",UPPER(TEXT(Dec[[#This Row],[Date]],"DDD")))</f>
        <v>SUN</v>
      </c>
      <c r="B39" s="6">
        <f>IF(Dec[[#This Row],[Date]]="","",WEEKDAY(Dec[[#This Row],[Date]],11))</f>
        <v>7</v>
      </c>
      <c r="C39" s="6" cm="1">
        <f t="array" ref="C39">_xlfn.IFNA(_xlfn.XLOOKUP(Dec[[#This Row],[Date]],Obs_day,HN),"")</f>
        <v>1</v>
      </c>
      <c r="D39" s="4">
        <f t="shared" si="0"/>
        <v>45291</v>
      </c>
      <c r="E39" s="61"/>
      <c r="F39" s="61"/>
      <c r="G39" s="61"/>
      <c r="H39" s="61"/>
      <c r="I39" s="62"/>
      <c r="J39" s="71" t="str">
        <f>_xlfn.XLOOKUP(Dec[[#This Row],[Date]],Obs_day,Hol,"")</f>
        <v xml:space="preserve">Holiday Closure </v>
      </c>
      <c r="L39" s="1">
        <v>45291</v>
      </c>
    </row>
    <row r="40" spans="1:12" x14ac:dyDescent="0.25">
      <c r="A40" s="30"/>
      <c r="B40" s="31"/>
      <c r="C40" s="31"/>
      <c r="D40" s="32"/>
      <c r="E40" s="34">
        <f>SUBTOTAL(109,Dec[Vacation
Hours])</f>
        <v>0</v>
      </c>
      <c r="F40" s="34">
        <f>SUBTOTAL(109,Dec[Sick
Hours])</f>
        <v>0</v>
      </c>
      <c r="G40" s="34">
        <f>SUBTOTAL(109,Dec[Float.
Hours])</f>
        <v>0</v>
      </c>
      <c r="H40" s="34">
        <f>SUBTOTAL(109,Dec[Other
Hours])</f>
        <v>0</v>
      </c>
      <c r="I40" s="28"/>
      <c r="J40" s="29"/>
    </row>
    <row r="41" spans="1:12" x14ac:dyDescent="0.25">
      <c r="A41" s="65"/>
      <c r="B41" s="65"/>
      <c r="C41" s="65"/>
      <c r="D41" s="65"/>
      <c r="E41" s="65"/>
      <c r="F41" s="65"/>
      <c r="G41" s="65"/>
      <c r="H41" s="65"/>
      <c r="I41" s="65"/>
      <c r="J41" s="65"/>
    </row>
    <row r="42" spans="1:12" x14ac:dyDescent="0.25">
      <c r="A42" s="65"/>
      <c r="B42" s="65"/>
      <c r="C42" s="65"/>
      <c r="D42" s="65"/>
      <c r="E42" s="65"/>
      <c r="F42" s="65"/>
      <c r="G42" s="65"/>
      <c r="H42" s="65"/>
      <c r="I42" s="65"/>
      <c r="J42" s="65"/>
    </row>
    <row r="43" spans="1:12" ht="15.75" thickBot="1" x14ac:dyDescent="0.3">
      <c r="A43" s="66"/>
      <c r="B43" s="66"/>
      <c r="C43" s="66"/>
      <c r="D43" s="66"/>
      <c r="E43" s="66"/>
      <c r="F43" s="66"/>
      <c r="G43" s="66"/>
      <c r="H43" s="65"/>
      <c r="I43" s="65"/>
      <c r="J43" s="65"/>
    </row>
    <row r="44" spans="1:12" x14ac:dyDescent="0.25">
      <c r="A44" s="7" t="s">
        <v>38</v>
      </c>
      <c r="B44" s="7"/>
      <c r="C44" s="7"/>
      <c r="D44" s="7"/>
      <c r="E44" s="7"/>
      <c r="F44" s="7"/>
      <c r="G44" s="7" t="s">
        <v>7</v>
      </c>
    </row>
    <row r="45" spans="1:12" x14ac:dyDescent="0.25">
      <c r="A45" s="65"/>
      <c r="B45" s="65"/>
      <c r="C45" s="65"/>
      <c r="D45" s="65"/>
      <c r="E45" s="65"/>
      <c r="F45" s="65"/>
      <c r="G45" s="65"/>
      <c r="H45" s="65"/>
      <c r="I45" s="65"/>
      <c r="J45" s="65"/>
    </row>
    <row r="46" spans="1:12" ht="15.75" thickBot="1" x14ac:dyDescent="0.3">
      <c r="A46" s="66"/>
      <c r="B46" s="66"/>
      <c r="C46" s="66"/>
      <c r="D46" s="66"/>
      <c r="E46" s="66"/>
      <c r="F46" s="66"/>
      <c r="G46" s="66"/>
      <c r="H46" s="65"/>
      <c r="I46" s="65"/>
      <c r="J46" s="65"/>
    </row>
    <row r="47" spans="1:12" x14ac:dyDescent="0.25">
      <c r="A47" s="7" t="s">
        <v>39</v>
      </c>
      <c r="G47" s="7" t="s">
        <v>7</v>
      </c>
    </row>
  </sheetData>
  <sheetProtection algorithmName="SHA-512" hashValue="OSYfSRsJNyEimxrHQH+0Cghx59UTQh0X351NtBh5dzSrRyVD1biKaxyFo6sYzLMWMTNZ7OhKaM7FXApxURJT5Q==" saltValue="7p4dqokaLpqxEWID7lnGdA==" spinCount="100000" sheet="1" objects="1" scenarios="1"/>
  <mergeCells count="2">
    <mergeCell ref="D5:F5"/>
    <mergeCell ref="D6:F6"/>
  </mergeCells>
  <conditionalFormatting sqref="E9:J39">
    <cfRule type="expression" dxfId="103" priority="1">
      <formula>$C9=1</formula>
    </cfRule>
    <cfRule type="expression" dxfId="102" priority="2">
      <formula>$B9&gt;5</formula>
    </cfRule>
  </conditionalFormatting>
  <dataValidations count="2">
    <dataValidation type="list" allowBlank="1" showInputMessage="1" showErrorMessage="1" sqref="I9:I39" xr:uid="{B7C2276E-56C6-47F5-8EDB-14BBB9F49E06}">
      <formula1>Codes_for_Other</formula1>
    </dataValidation>
    <dataValidation allowBlank="1" showInputMessage="1" showErrorMessage="1" promptTitle="Personal Information Update" prompt="Enter your Name, ID, and Location in the Jan sheet." sqref="D5:F5" xr:uid="{66707B4D-71B4-4827-9516-E782A6705C65}"/>
  </dataValidations>
  <pageMargins left="0.7" right="0.7" top="0.75" bottom="0.75" header="0.3" footer="0.3"/>
  <pageSetup scale="77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33</vt:i4>
      </vt:variant>
    </vt:vector>
  </HeadingPairs>
  <TitlesOfParts>
    <vt:vector size="48" baseType="lpstr">
      <vt:lpstr>Instructions</vt:lpstr>
      <vt:lpstr>Holidays</vt:lpstr>
      <vt:lpstr>Leave Projection</vt:lpstr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  <vt:lpstr>Codes_for_Other</vt:lpstr>
      <vt:lpstr>Description</vt:lpstr>
      <vt:lpstr>FN</vt:lpstr>
      <vt:lpstr>HN</vt:lpstr>
      <vt:lpstr>Apr!Hol</vt:lpstr>
      <vt:lpstr>Aug!Hol</vt:lpstr>
      <vt:lpstr>Dec!Hol</vt:lpstr>
      <vt:lpstr>Feb!Hol</vt:lpstr>
      <vt:lpstr>Jul!Hol</vt:lpstr>
      <vt:lpstr>Jun!Hol</vt:lpstr>
      <vt:lpstr>Mar!Hol</vt:lpstr>
      <vt:lpstr>May!Hol</vt:lpstr>
      <vt:lpstr>Nov!Hol</vt:lpstr>
      <vt:lpstr>Oct!Hol</vt:lpstr>
      <vt:lpstr>Sep!Hol</vt:lpstr>
      <vt:lpstr>Hol</vt:lpstr>
      <vt:lpstr>ID</vt:lpstr>
      <vt:lpstr>LN</vt:lpstr>
      <vt:lpstr>Location</vt:lpstr>
      <vt:lpstr>Locations</vt:lpstr>
      <vt:lpstr>Apr!Obs_day</vt:lpstr>
      <vt:lpstr>Aug!Obs_day</vt:lpstr>
      <vt:lpstr>Dec!Obs_day</vt:lpstr>
      <vt:lpstr>Feb!Obs_day</vt:lpstr>
      <vt:lpstr>Jul!Obs_day</vt:lpstr>
      <vt:lpstr>Jun!Obs_day</vt:lpstr>
      <vt:lpstr>Mar!Obs_day</vt:lpstr>
      <vt:lpstr>May!Obs_day</vt:lpstr>
      <vt:lpstr>Nov!Obs_day</vt:lpstr>
      <vt:lpstr>Oct!Obs_day</vt:lpstr>
      <vt:lpstr>Sep!Obs_day</vt:lpstr>
      <vt:lpstr>Obs_day</vt:lpstr>
      <vt:lpstr>Requires_Documentation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rodriguez</dc:creator>
  <cp:lastModifiedBy>alejandra rodriguez</cp:lastModifiedBy>
  <cp:lastPrinted>2023-02-06T23:07:25Z</cp:lastPrinted>
  <dcterms:created xsi:type="dcterms:W3CDTF">2023-02-06T19:26:31Z</dcterms:created>
  <dcterms:modified xsi:type="dcterms:W3CDTF">2023-03-28T19:42:03Z</dcterms:modified>
</cp:coreProperties>
</file>